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№ 2.2 (422)" sheetId="1" r:id="rId1"/>
  </sheets>
  <definedNames>
    <definedName name="_xlnm.Print_Titles" localSheetId="0">'Приложение № 2.2 (422)'!$A:$D,'Приложение № 2.2 (422)'!$10:$10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290" i="1" l="1"/>
  <c r="Y275" i="1"/>
  <c r="X275" i="1"/>
  <c r="P275" i="1"/>
  <c r="AJ274" i="1"/>
  <c r="Z274" i="1"/>
  <c r="Y274" i="1"/>
  <c r="X274" i="1"/>
  <c r="AD273" i="1"/>
  <c r="P273" i="1"/>
  <c r="AD266" i="1"/>
  <c r="W266" i="1"/>
  <c r="BB260" i="1"/>
  <c r="Z260" i="1"/>
  <c r="BB239" i="1"/>
  <c r="CV239" i="1"/>
  <c r="CU239" i="1" s="1"/>
  <c r="CM239" i="1"/>
  <c r="CH239" i="1"/>
  <c r="CE239" i="1"/>
  <c r="BQ239" i="1"/>
  <c r="BN239" i="1"/>
  <c r="BH239" i="1"/>
  <c r="BD239" i="1"/>
  <c r="BC239" i="1"/>
  <c r="AF239" i="1"/>
  <c r="V239" i="1"/>
  <c r="Q239" i="1"/>
  <c r="J239" i="1"/>
  <c r="CT231" i="1"/>
  <c r="BL228" i="1"/>
  <c r="AD188" i="1"/>
  <c r="AD187" i="1"/>
  <c r="CB185" i="1"/>
  <c r="CB184" i="1"/>
  <c r="BR184" i="1"/>
  <c r="Y178" i="1"/>
  <c r="X178" i="1"/>
  <c r="K178" i="1"/>
  <c r="AD177" i="1"/>
  <c r="Y177" i="1"/>
  <c r="Y175" i="1"/>
  <c r="X175" i="1"/>
  <c r="AD174" i="1"/>
  <c r="Z174" i="1"/>
  <c r="Y174" i="1"/>
  <c r="X174" i="1"/>
  <c r="AD172" i="1"/>
  <c r="Z172" i="1"/>
  <c r="Y172" i="1"/>
  <c r="X172" i="1"/>
  <c r="AD140" i="1"/>
  <c r="X138" i="1"/>
  <c r="X132" i="1"/>
  <c r="X131" i="1"/>
  <c r="X128" i="1"/>
  <c r="AD127" i="1"/>
  <c r="AD126" i="1"/>
  <c r="BE102" i="1"/>
  <c r="Y91" i="1"/>
  <c r="AD85" i="1"/>
  <c r="X85" i="1"/>
  <c r="X83" i="1"/>
  <c r="AD81" i="1"/>
  <c r="Z81" i="1"/>
  <c r="Y81" i="1"/>
  <c r="X81" i="1"/>
  <c r="Z79" i="1"/>
  <c r="AI79" i="1"/>
  <c r="AN75" i="1"/>
  <c r="Z75" i="1"/>
  <c r="Y75" i="1"/>
  <c r="X75" i="1"/>
  <c r="U75" i="1"/>
  <c r="L75" i="1"/>
  <c r="CG74" i="1"/>
  <c r="Z74" i="1"/>
  <c r="L74" i="1"/>
  <c r="Z72" i="1"/>
  <c r="Y72" i="1"/>
  <c r="X72" i="1"/>
  <c r="H67" i="1"/>
  <c r="CD239" i="1" l="1"/>
  <c r="CC239" i="1" s="1"/>
  <c r="G239" i="1"/>
  <c r="F239" i="1" s="1"/>
  <c r="E239" i="1" s="1"/>
  <c r="AT57" i="1"/>
  <c r="Y57" i="1"/>
  <c r="AD55" i="1"/>
  <c r="Z55" i="1"/>
  <c r="X55" i="1"/>
  <c r="Y45" i="1"/>
  <c r="AD42" i="1"/>
  <c r="Z42" i="1"/>
  <c r="X42" i="1"/>
  <c r="AD37" i="1"/>
  <c r="X37" i="1"/>
  <c r="X35" i="1"/>
  <c r="AD33" i="1"/>
  <c r="X30" i="1"/>
  <c r="Z24" i="1"/>
  <c r="AD23" i="1"/>
  <c r="X23" i="1"/>
  <c r="X22" i="1"/>
  <c r="AP19" i="1"/>
  <c r="Z19" i="1"/>
  <c r="AD16" i="1"/>
  <c r="X15" i="1"/>
  <c r="BL299" i="1" l="1"/>
  <c r="BB156" i="1" l="1"/>
  <c r="CN132" i="1"/>
  <c r="BB132" i="1"/>
  <c r="BA79" i="1"/>
  <c r="AT79" i="1"/>
  <c r="AJ79" i="1"/>
  <c r="P79" i="1"/>
  <c r="O79" i="1"/>
  <c r="AJ77" i="1"/>
  <c r="M77" i="1"/>
  <c r="BB174" i="1" l="1"/>
  <c r="AX172" i="1"/>
  <c r="AT172" i="1"/>
  <c r="U172" i="1"/>
  <c r="O87" i="1"/>
  <c r="CB305" i="1" l="1"/>
  <c r="BB172" i="1"/>
  <c r="K172" i="1"/>
  <c r="H172" i="1"/>
  <c r="O72" i="1"/>
  <c r="BB53" i="1"/>
  <c r="BB268" i="1" l="1"/>
  <c r="U32" i="1" l="1"/>
  <c r="I42" i="1"/>
  <c r="BB313" i="1"/>
  <c r="BB309" i="1"/>
  <c r="CO307" i="1"/>
  <c r="CN307" i="1"/>
  <c r="CJ307" i="1"/>
  <c r="CG307" i="1"/>
  <c r="AI307" i="1"/>
  <c r="P307" i="1"/>
  <c r="P272" i="1"/>
  <c r="BB271" i="1"/>
  <c r="Z271" i="1"/>
  <c r="AR268" i="1"/>
  <c r="AL268" i="1"/>
  <c r="AK268" i="1"/>
  <c r="AJ268" i="1"/>
  <c r="Y268" i="1"/>
  <c r="X268" i="1"/>
  <c r="P268" i="1"/>
  <c r="O268" i="1"/>
  <c r="I268" i="1"/>
  <c r="CN264" i="1"/>
  <c r="Y264" i="1"/>
  <c r="Y260" i="1"/>
  <c r="X260" i="1"/>
  <c r="CN259" i="1"/>
  <c r="CG259" i="1"/>
  <c r="BB259" i="1"/>
  <c r="AL259" i="1"/>
  <c r="AG259" i="1"/>
  <c r="P259" i="1"/>
  <c r="O259" i="1"/>
  <c r="I259" i="1"/>
  <c r="H259" i="1"/>
  <c r="AR255" i="1"/>
  <c r="AR249" i="1" s="1"/>
  <c r="AR314" i="1"/>
  <c r="AR312" i="1"/>
  <c r="AR310" i="1"/>
  <c r="AR308" i="1"/>
  <c r="AR306" i="1"/>
  <c r="AR304" i="1"/>
  <c r="AR302" i="1"/>
  <c r="AR297" i="1"/>
  <c r="AR294" i="1"/>
  <c r="AR291" i="1"/>
  <c r="AR289" i="1"/>
  <c r="AR276" i="1"/>
  <c r="AR232" i="1"/>
  <c r="AR230" i="1"/>
  <c r="AR226" i="1"/>
  <c r="AR223" i="1"/>
  <c r="AR220" i="1"/>
  <c r="AR207" i="1"/>
  <c r="AR198" i="1"/>
  <c r="AR196" i="1"/>
  <c r="AR194" i="1"/>
  <c r="AR192" i="1"/>
  <c r="AR190" i="1"/>
  <c r="AR186" i="1"/>
  <c r="AR181" i="1"/>
  <c r="AR179" i="1"/>
  <c r="AR176" i="1"/>
  <c r="AR173" i="1"/>
  <c r="AR171" i="1"/>
  <c r="AR166" i="1"/>
  <c r="AR161" i="1"/>
  <c r="AR153" i="1"/>
  <c r="AR150" i="1"/>
  <c r="AR146" i="1"/>
  <c r="AR141" i="1"/>
  <c r="AR139" i="1"/>
  <c r="AR137" i="1"/>
  <c r="AR133" i="1"/>
  <c r="AR129" i="1"/>
  <c r="AR125" i="1"/>
  <c r="AR121" i="1"/>
  <c r="AR119" i="1"/>
  <c r="AR116" i="1"/>
  <c r="AR113" i="1"/>
  <c r="AR110" i="1"/>
  <c r="AR108" i="1"/>
  <c r="AR104" i="1"/>
  <c r="AR101" i="1"/>
  <c r="AR92" i="1"/>
  <c r="AR89" i="1"/>
  <c r="AR86" i="1"/>
  <c r="AR84" i="1"/>
  <c r="AR82" i="1"/>
  <c r="AR80" i="1"/>
  <c r="AR78" i="1"/>
  <c r="AR76" i="1"/>
  <c r="AR73" i="1"/>
  <c r="AR71" i="1"/>
  <c r="AR68" i="1"/>
  <c r="AR66" i="1"/>
  <c r="AR63" i="1"/>
  <c r="AR61" i="1"/>
  <c r="AR58" i="1"/>
  <c r="AR56" i="1"/>
  <c r="AR54" i="1"/>
  <c r="AR52" i="1"/>
  <c r="AR50" i="1"/>
  <c r="AR47" i="1"/>
  <c r="AR44" i="1"/>
  <c r="AR38" i="1"/>
  <c r="AR36" i="1"/>
  <c r="AR18" i="1"/>
  <c r="AR14" i="1"/>
  <c r="AR12" i="1"/>
  <c r="I255" i="1"/>
  <c r="H255" i="1"/>
  <c r="BB251" i="1"/>
  <c r="AR100" i="1" l="1"/>
  <c r="AR222" i="1"/>
  <c r="AR103" i="1"/>
  <c r="AR219" i="1"/>
  <c r="AR225" i="1"/>
  <c r="AR293" i="1"/>
  <c r="AR124" i="1"/>
  <c r="AR183" i="1"/>
  <c r="AR49" i="1"/>
  <c r="AR296" i="1"/>
  <c r="AR170" i="1"/>
  <c r="AR107" i="1"/>
  <c r="AR112" i="1"/>
  <c r="AR160" i="1"/>
  <c r="AR11" i="1"/>
  <c r="AR60" i="1"/>
  <c r="AR65" i="1"/>
  <c r="AR88" i="1"/>
  <c r="AR145" i="1"/>
  <c r="AR70" i="1"/>
  <c r="AR235" i="1"/>
  <c r="AR229" i="1" l="1"/>
  <c r="AR316" i="1"/>
  <c r="AS236" i="1"/>
  <c r="CG234" i="1"/>
  <c r="BA234" i="1"/>
  <c r="S234" i="1"/>
  <c r="P201" i="1"/>
  <c r="CA185" i="1"/>
  <c r="BR185" i="1"/>
  <c r="CA184" i="1"/>
  <c r="CB177" i="1"/>
  <c r="AW177" i="1"/>
  <c r="Z175" i="1"/>
  <c r="CG172" i="1"/>
  <c r="P172" i="1"/>
  <c r="BB151" i="1"/>
  <c r="X147" i="1"/>
  <c r="CB140" i="1"/>
  <c r="Y136" i="1"/>
  <c r="X136" i="1"/>
  <c r="Z132" i="1"/>
  <c r="Y132" i="1"/>
  <c r="BT131" i="1"/>
  <c r="M131" i="1"/>
  <c r="CB127" i="1"/>
  <c r="Z126" i="1"/>
  <c r="AD91" i="1"/>
  <c r="CG85" i="1"/>
  <c r="AY85" i="1"/>
  <c r="BB79" i="1"/>
  <c r="X79" i="1"/>
  <c r="CG83" i="1"/>
  <c r="U83" i="1"/>
  <c r="CG75" i="1"/>
  <c r="BA75" i="1"/>
  <c r="CG77" i="1"/>
  <c r="AS77" i="1"/>
  <c r="AD77" i="1"/>
  <c r="Z77" i="1"/>
  <c r="Y77" i="1"/>
  <c r="X77" i="1"/>
  <c r="U77" i="1"/>
  <c r="P77" i="1"/>
  <c r="H74" i="1"/>
  <c r="CG72" i="1"/>
  <c r="BA72" i="1"/>
  <c r="AY72" i="1"/>
  <c r="P72" i="1"/>
  <c r="H72" i="1"/>
  <c r="CO69" i="1"/>
  <c r="CA69" i="1"/>
  <c r="P69" i="1"/>
  <c r="H69" i="1"/>
  <c r="CO67" i="1"/>
  <c r="CB67" i="1"/>
  <c r="BQ67" i="1" s="1"/>
  <c r="BB67" i="1"/>
  <c r="AD67" i="1"/>
  <c r="Z67" i="1"/>
  <c r="Y67" i="1"/>
  <c r="X67" i="1"/>
  <c r="W67" i="1"/>
  <c r="P67" i="1"/>
  <c r="M67" i="1"/>
  <c r="AO53" i="1"/>
  <c r="Y53" i="1"/>
  <c r="X53" i="1"/>
  <c r="U53" i="1"/>
  <c r="P53" i="1"/>
  <c r="Z31" i="1"/>
  <c r="Y31" i="1"/>
  <c r="X31" i="1"/>
  <c r="Z48" i="1"/>
  <c r="U22" i="1"/>
  <c r="CG46" i="1"/>
  <c r="BB46" i="1"/>
  <c r="AN46" i="1"/>
  <c r="AL46" i="1"/>
  <c r="AJ46" i="1"/>
  <c r="AI46" i="1"/>
  <c r="AB46" i="1"/>
  <c r="AA46" i="1"/>
  <c r="Z46" i="1"/>
  <c r="Y46" i="1"/>
  <c r="X46" i="1"/>
  <c r="W46" i="1"/>
  <c r="U46" i="1"/>
  <c r="P46" i="1"/>
  <c r="I46" i="1"/>
  <c r="H46" i="1"/>
  <c r="CG45" i="1"/>
  <c r="CE45" i="1" s="1"/>
  <c r="BB45" i="1"/>
  <c r="BB44" i="1" s="1"/>
  <c r="AN45" i="1"/>
  <c r="AN44" i="1" s="1"/>
  <c r="AL45" i="1"/>
  <c r="AL44" i="1" s="1"/>
  <c r="AJ45" i="1"/>
  <c r="AJ44" i="1" s="1"/>
  <c r="AI45" i="1"/>
  <c r="AI44" i="1" s="1"/>
  <c r="AB45" i="1"/>
  <c r="AB44" i="1" s="1"/>
  <c r="AA45" i="1"/>
  <c r="AA44" i="1" s="1"/>
  <c r="Z45" i="1"/>
  <c r="Z44" i="1" s="1"/>
  <c r="Y44" i="1"/>
  <c r="X45" i="1"/>
  <c r="X44" i="1" s="1"/>
  <c r="W45" i="1"/>
  <c r="W44" i="1" s="1"/>
  <c r="U45" i="1"/>
  <c r="U44" i="1" s="1"/>
  <c r="P45" i="1"/>
  <c r="P44" i="1" s="1"/>
  <c r="I45" i="1"/>
  <c r="I44" i="1" s="1"/>
  <c r="H45" i="1"/>
  <c r="H44" i="1" s="1"/>
  <c r="CX44" i="1"/>
  <c r="CW44" i="1"/>
  <c r="CT44" i="1"/>
  <c r="CS44" i="1"/>
  <c r="CR44" i="1"/>
  <c r="CQ44" i="1"/>
  <c r="CP44" i="1"/>
  <c r="CO44" i="1"/>
  <c r="CN44" i="1"/>
  <c r="CL44" i="1"/>
  <c r="CK44" i="1"/>
  <c r="CJ44" i="1"/>
  <c r="CI44" i="1"/>
  <c r="CF44" i="1"/>
  <c r="CB44" i="1"/>
  <c r="CA44" i="1"/>
  <c r="BZ44" i="1"/>
  <c r="BY44" i="1"/>
  <c r="BX44" i="1"/>
  <c r="BW44" i="1"/>
  <c r="BV44" i="1"/>
  <c r="BU44" i="1"/>
  <c r="BT44" i="1"/>
  <c r="BS44" i="1"/>
  <c r="BR44" i="1"/>
  <c r="BP44" i="1"/>
  <c r="BO44" i="1"/>
  <c r="BM44" i="1"/>
  <c r="BL44" i="1"/>
  <c r="BK44" i="1"/>
  <c r="BJ44" i="1"/>
  <c r="BI44" i="1"/>
  <c r="BG44" i="1"/>
  <c r="BF44" i="1"/>
  <c r="BE44" i="1"/>
  <c r="BA44" i="1"/>
  <c r="AZ44" i="1"/>
  <c r="AY44" i="1"/>
  <c r="AX44" i="1"/>
  <c r="AW44" i="1"/>
  <c r="AV44" i="1"/>
  <c r="AU44" i="1"/>
  <c r="AT44" i="1"/>
  <c r="AS44" i="1"/>
  <c r="AQ44" i="1"/>
  <c r="AP44" i="1"/>
  <c r="AO44" i="1"/>
  <c r="AM44" i="1"/>
  <c r="AK44" i="1"/>
  <c r="AH44" i="1"/>
  <c r="AG44" i="1"/>
  <c r="AE44" i="1"/>
  <c r="AD44" i="1"/>
  <c r="AC44" i="1"/>
  <c r="T44" i="1"/>
  <c r="S44" i="1"/>
  <c r="R44" i="1"/>
  <c r="O44" i="1"/>
  <c r="N44" i="1"/>
  <c r="M44" i="1"/>
  <c r="L44" i="1"/>
  <c r="K44" i="1"/>
  <c r="CV45" i="1"/>
  <c r="CM45" i="1"/>
  <c r="CH45" i="1"/>
  <c r="BQ45" i="1"/>
  <c r="BN45" i="1"/>
  <c r="BH45" i="1"/>
  <c r="BD45" i="1"/>
  <c r="Q45" i="1"/>
  <c r="CU45" i="1" l="1"/>
  <c r="CG44" i="1"/>
  <c r="J45" i="1"/>
  <c r="V45" i="1"/>
  <c r="AF45" i="1"/>
  <c r="BC45" i="1"/>
  <c r="CD45" i="1"/>
  <c r="Z32" i="1"/>
  <c r="Y32" i="1"/>
  <c r="X32" i="1"/>
  <c r="AD43" i="1"/>
  <c r="AD24" i="1"/>
  <c r="Y24" i="1"/>
  <c r="W24" i="1"/>
  <c r="CG42" i="1"/>
  <c r="CA42" i="1"/>
  <c r="AT42" i="1"/>
  <c r="AP42" i="1"/>
  <c r="AJ42" i="1"/>
  <c r="AI42" i="1"/>
  <c r="Y42" i="1"/>
  <c r="U42" i="1"/>
  <c r="P42" i="1"/>
  <c r="H42" i="1"/>
  <c r="Z23" i="1"/>
  <c r="Y23" i="1"/>
  <c r="I23" i="1"/>
  <c r="H23" i="1"/>
  <c r="AI19" i="1"/>
  <c r="AN19" i="1"/>
  <c r="AO19" i="1"/>
  <c r="AT19" i="1"/>
  <c r="BB19" i="1"/>
  <c r="CA19" i="1"/>
  <c r="CG19" i="1"/>
  <c r="G45" i="1" l="1"/>
  <c r="CC45" i="1"/>
  <c r="Y19" i="1"/>
  <c r="X19" i="1"/>
  <c r="W19" i="1"/>
  <c r="U19" i="1"/>
  <c r="S19" i="1"/>
  <c r="R19" i="1"/>
  <c r="P19" i="1"/>
  <c r="O19" i="1"/>
  <c r="I19" i="1"/>
  <c r="H19" i="1"/>
  <c r="CG34" i="1"/>
  <c r="CA34" i="1"/>
  <c r="BB34" i="1"/>
  <c r="AT34" i="1"/>
  <c r="AP34" i="1"/>
  <c r="AO34" i="1"/>
  <c r="AN34" i="1"/>
  <c r="AI34" i="1"/>
  <c r="Z34" i="1"/>
  <c r="Y34" i="1"/>
  <c r="X34" i="1"/>
  <c r="W34" i="1"/>
  <c r="U34" i="1"/>
  <c r="S34" i="1"/>
  <c r="R34" i="1"/>
  <c r="P34" i="1"/>
  <c r="O34" i="1"/>
  <c r="I34" i="1"/>
  <c r="H34" i="1"/>
  <c r="Y16" i="1"/>
  <c r="X16" i="1"/>
  <c r="CA15" i="1"/>
  <c r="AD15" i="1"/>
  <c r="Z15" i="1"/>
  <c r="Y15" i="1"/>
  <c r="AD13" i="1"/>
  <c r="O13" i="1"/>
  <c r="X13" i="1"/>
  <c r="F45" i="1" l="1"/>
  <c r="E45" i="1"/>
  <c r="BB159" i="1"/>
  <c r="CG136" i="1"/>
  <c r="P131" i="1"/>
  <c r="I27" i="1"/>
  <c r="H27" i="1"/>
  <c r="CG255" i="1" l="1"/>
  <c r="BB255" i="1"/>
  <c r="AJ255" i="1"/>
  <c r="AI255" i="1"/>
  <c r="AA255" i="1"/>
  <c r="U255" i="1"/>
  <c r="R255" i="1"/>
  <c r="P255" i="1"/>
  <c r="O255" i="1"/>
  <c r="CG254" i="1"/>
  <c r="AJ254" i="1"/>
  <c r="W254" i="1"/>
  <c r="U254" i="1"/>
  <c r="P254" i="1"/>
  <c r="O254" i="1"/>
  <c r="K254" i="1"/>
  <c r="I16" i="1"/>
  <c r="H16" i="1"/>
  <c r="I15" i="1"/>
  <c r="H15" i="1"/>
  <c r="CX297" i="1" l="1"/>
  <c r="CW297" i="1"/>
  <c r="CT297" i="1"/>
  <c r="CS297" i="1"/>
  <c r="CR297" i="1"/>
  <c r="CQ297" i="1"/>
  <c r="CP297" i="1"/>
  <c r="CO297" i="1"/>
  <c r="CN297" i="1"/>
  <c r="CL297" i="1"/>
  <c r="CK297" i="1"/>
  <c r="CJ297" i="1"/>
  <c r="CI297" i="1"/>
  <c r="CG297" i="1"/>
  <c r="CF297" i="1"/>
  <c r="CB297" i="1"/>
  <c r="CA297" i="1"/>
  <c r="BZ297" i="1"/>
  <c r="BY297" i="1"/>
  <c r="BX297" i="1"/>
  <c r="BW297" i="1"/>
  <c r="BV297" i="1"/>
  <c r="BU297" i="1"/>
  <c r="BT297" i="1"/>
  <c r="BS297" i="1"/>
  <c r="BR297" i="1"/>
  <c r="BP297" i="1"/>
  <c r="BO297" i="1"/>
  <c r="BM297" i="1"/>
  <c r="BK297" i="1"/>
  <c r="BJ297" i="1"/>
  <c r="BG297" i="1"/>
  <c r="BF297" i="1"/>
  <c r="BE297" i="1"/>
  <c r="BA297" i="1"/>
  <c r="AZ297" i="1"/>
  <c r="AX297" i="1"/>
  <c r="AW297" i="1"/>
  <c r="AV297" i="1"/>
  <c r="AU297" i="1"/>
  <c r="AT297" i="1"/>
  <c r="AS297" i="1"/>
  <c r="AQ297" i="1"/>
  <c r="AP297" i="1"/>
  <c r="AO297" i="1"/>
  <c r="AN297" i="1"/>
  <c r="AM297" i="1"/>
  <c r="AL297" i="1"/>
  <c r="AK297" i="1"/>
  <c r="AJ297" i="1"/>
  <c r="AI297" i="1"/>
  <c r="AH297" i="1"/>
  <c r="AG297" i="1"/>
  <c r="AE297" i="1"/>
  <c r="AD297" i="1"/>
  <c r="AC297" i="1"/>
  <c r="AB297" i="1"/>
  <c r="AA297" i="1"/>
  <c r="Z297" i="1"/>
  <c r="Y297" i="1"/>
  <c r="X297" i="1"/>
  <c r="W297" i="1"/>
  <c r="U297" i="1"/>
  <c r="T297" i="1"/>
  <c r="S297" i="1"/>
  <c r="R297" i="1"/>
  <c r="P297" i="1"/>
  <c r="O297" i="1"/>
  <c r="N297" i="1"/>
  <c r="M297" i="1"/>
  <c r="L297" i="1"/>
  <c r="K297" i="1"/>
  <c r="I297" i="1"/>
  <c r="H297" i="1"/>
  <c r="BB298" i="1" l="1"/>
  <c r="BB297" i="1" s="1"/>
  <c r="BL301" i="1"/>
  <c r="AK264" i="1"/>
  <c r="AJ264" i="1"/>
  <c r="AA264" i="1"/>
  <c r="Z264" i="1"/>
  <c r="X264" i="1"/>
  <c r="AA253" i="1"/>
  <c r="AA254" i="1"/>
  <c r="W253" i="1"/>
  <c r="U253" i="1"/>
  <c r="CG132" i="1"/>
  <c r="W172" i="1"/>
  <c r="AA172" i="1"/>
  <c r="AJ172" i="1"/>
  <c r="AO172" i="1"/>
  <c r="AN132" i="1"/>
  <c r="AJ132" i="1"/>
  <c r="O132" i="1"/>
  <c r="L132" i="1"/>
  <c r="BB21" i="1" l="1"/>
  <c r="AU21" i="1"/>
  <c r="U21" i="1"/>
  <c r="P21" i="1"/>
  <c r="CV298" i="1"/>
  <c r="CM298" i="1"/>
  <c r="CH298" i="1"/>
  <c r="CE298" i="1"/>
  <c r="BQ298" i="1"/>
  <c r="BN298" i="1"/>
  <c r="BH298" i="1"/>
  <c r="BD298" i="1"/>
  <c r="AF298" i="1"/>
  <c r="V298" i="1"/>
  <c r="Q298" i="1"/>
  <c r="CU298" i="1" l="1"/>
  <c r="CD298" i="1"/>
  <c r="BC298" i="1"/>
  <c r="CC298" i="1" l="1"/>
  <c r="AX307" i="1"/>
  <c r="O307" i="1"/>
  <c r="BB307" i="1"/>
  <c r="CL307" i="1"/>
  <c r="AC210" i="1"/>
  <c r="I172" i="1"/>
  <c r="BL297" i="1" l="1"/>
  <c r="BB120" i="1"/>
  <c r="BN115" i="1"/>
  <c r="P22" i="1"/>
  <c r="O21" i="1" l="1"/>
  <c r="O20" i="1"/>
  <c r="CT288" i="1" l="1"/>
  <c r="CN275" i="1" l="1"/>
  <c r="CG270" i="1"/>
  <c r="CF266" i="1"/>
  <c r="CG262" i="1"/>
  <c r="CN260" i="1"/>
  <c r="CG260" i="1"/>
  <c r="CG258" i="1"/>
  <c r="CG253" i="1"/>
  <c r="CG252" i="1"/>
  <c r="BB277" i="1"/>
  <c r="BA273" i="1"/>
  <c r="AJ272" i="1"/>
  <c r="BB270" i="1"/>
  <c r="AU268" i="1"/>
  <c r="AJ266" i="1"/>
  <c r="BB262" i="1"/>
  <c r="AU262" i="1"/>
  <c r="AI262" i="1"/>
  <c r="BB261" i="1"/>
  <c r="BA261" i="1"/>
  <c r="AI261" i="1"/>
  <c r="AT260" i="1"/>
  <c r="AJ260" i="1"/>
  <c r="AI260" i="1"/>
  <c r="AU259" i="1"/>
  <c r="BB258" i="1"/>
  <c r="AS258" i="1"/>
  <c r="AJ258" i="1"/>
  <c r="AI258" i="1"/>
  <c r="AK256" i="1"/>
  <c r="AJ256" i="1"/>
  <c r="BB254" i="1"/>
  <c r="AU254" i="1"/>
  <c r="AO254" i="1"/>
  <c r="AO253" i="1" l="1"/>
  <c r="AL253" i="1"/>
  <c r="AJ253" i="1"/>
  <c r="AO252" i="1"/>
  <c r="AI252" i="1"/>
  <c r="BB242" i="1"/>
  <c r="CV242" i="1"/>
  <c r="CM242" i="1"/>
  <c r="CH242" i="1"/>
  <c r="CE242" i="1"/>
  <c r="BQ242" i="1"/>
  <c r="BN242" i="1"/>
  <c r="BH242" i="1"/>
  <c r="BD242" i="1"/>
  <c r="V242" i="1"/>
  <c r="Q242" i="1"/>
  <c r="J242" i="1"/>
  <c r="AF242" i="1" l="1"/>
  <c r="BC242" i="1"/>
  <c r="CU242" i="1"/>
  <c r="CD242" i="1"/>
  <c r="BB250" i="1"/>
  <c r="Z273" i="1"/>
  <c r="W270" i="1"/>
  <c r="P270" i="1"/>
  <c r="P267" i="1"/>
  <c r="Y266" i="1"/>
  <c r="P266" i="1"/>
  <c r="P262" i="1"/>
  <c r="Z261" i="1"/>
  <c r="U261" i="1"/>
  <c r="P261" i="1"/>
  <c r="AD260" i="1"/>
  <c r="W260" i="1"/>
  <c r="U260" i="1"/>
  <c r="P260" i="1"/>
  <c r="AB259" i="1"/>
  <c r="Z259" i="1"/>
  <c r="Y259" i="1"/>
  <c r="AA258" i="1"/>
  <c r="W258" i="1"/>
  <c r="U258" i="1"/>
  <c r="P258" i="1"/>
  <c r="AA256" i="1"/>
  <c r="X256" i="1"/>
  <c r="P256" i="1"/>
  <c r="Z254" i="1"/>
  <c r="X254" i="1"/>
  <c r="P253" i="1"/>
  <c r="P252" i="1"/>
  <c r="P251" i="1"/>
  <c r="AC217" i="1"/>
  <c r="AC216" i="1"/>
  <c r="AC215" i="1"/>
  <c r="AC214" i="1"/>
  <c r="AC213" i="1"/>
  <c r="AC212" i="1"/>
  <c r="AC211" i="1"/>
  <c r="P140" i="1"/>
  <c r="M252" i="1"/>
  <c r="I252" i="1"/>
  <c r="H252" i="1"/>
  <c r="M251" i="1"/>
  <c r="G242" i="1" l="1"/>
  <c r="CC242" i="1"/>
  <c r="O253" i="1"/>
  <c r="K255" i="1"/>
  <c r="O258" i="1"/>
  <c r="M258" i="1"/>
  <c r="K258" i="1"/>
  <c r="I258" i="1"/>
  <c r="H258" i="1"/>
  <c r="O260" i="1"/>
  <c r="I260" i="1"/>
  <c r="H260" i="1"/>
  <c r="I261" i="1"/>
  <c r="H261" i="1"/>
  <c r="M264" i="1"/>
  <c r="O264" i="1"/>
  <c r="O266" i="1"/>
  <c r="F242" i="1" l="1"/>
  <c r="E242" i="1"/>
  <c r="BI300" i="1" l="1"/>
  <c r="BB315" i="1"/>
  <c r="BI297" i="1" l="1"/>
  <c r="CB311" i="1"/>
  <c r="CG35" i="1"/>
  <c r="BX191" i="1"/>
  <c r="BP314" i="1"/>
  <c r="BP312" i="1"/>
  <c r="BP310" i="1"/>
  <c r="BP308" i="1"/>
  <c r="BP306" i="1"/>
  <c r="BP304" i="1"/>
  <c r="BP302" i="1"/>
  <c r="BP294" i="1"/>
  <c r="BP291" i="1"/>
  <c r="BP289" i="1"/>
  <c r="BP276" i="1"/>
  <c r="BP249" i="1"/>
  <c r="BP232" i="1"/>
  <c r="BP230" i="1"/>
  <c r="BP226" i="1"/>
  <c r="BP223" i="1"/>
  <c r="BP220" i="1"/>
  <c r="BP207" i="1"/>
  <c r="BP198" i="1"/>
  <c r="BP196" i="1"/>
  <c r="BP194" i="1"/>
  <c r="BP192" i="1"/>
  <c r="BP190" i="1"/>
  <c r="BP186" i="1"/>
  <c r="BP181" i="1"/>
  <c r="BP179" i="1"/>
  <c r="BP176" i="1"/>
  <c r="BP173" i="1"/>
  <c r="BP171" i="1"/>
  <c r="BP166" i="1"/>
  <c r="BP161" i="1"/>
  <c r="BP153" i="1"/>
  <c r="BP150" i="1"/>
  <c r="BP146" i="1"/>
  <c r="BP141" i="1"/>
  <c r="BP139" i="1"/>
  <c r="BP137" i="1"/>
  <c r="BP133" i="1"/>
  <c r="BP129" i="1"/>
  <c r="BP125" i="1"/>
  <c r="BP121" i="1"/>
  <c r="BP119" i="1"/>
  <c r="BP116" i="1"/>
  <c r="BP113" i="1"/>
  <c r="BP110" i="1"/>
  <c r="BP108" i="1"/>
  <c r="BP104" i="1"/>
  <c r="BP101" i="1"/>
  <c r="BP92" i="1"/>
  <c r="BP89" i="1"/>
  <c r="BP86" i="1"/>
  <c r="BP84" i="1"/>
  <c r="BP82" i="1"/>
  <c r="BP80" i="1"/>
  <c r="BP78" i="1"/>
  <c r="BP76" i="1"/>
  <c r="BP73" i="1"/>
  <c r="BP71" i="1"/>
  <c r="BP68" i="1"/>
  <c r="BP66" i="1"/>
  <c r="BP63" i="1"/>
  <c r="BP61" i="1"/>
  <c r="BP58" i="1"/>
  <c r="BP56" i="1"/>
  <c r="BP54" i="1"/>
  <c r="BP52" i="1"/>
  <c r="BP50" i="1"/>
  <c r="BP47" i="1"/>
  <c r="BP38" i="1"/>
  <c r="BP36" i="1"/>
  <c r="BP18" i="1"/>
  <c r="BP14" i="1"/>
  <c r="BP12" i="1"/>
  <c r="BF114" i="1"/>
  <c r="CX113" i="1"/>
  <c r="CW113" i="1"/>
  <c r="CT113" i="1"/>
  <c r="CS113" i="1"/>
  <c r="CR113" i="1"/>
  <c r="CQ113" i="1"/>
  <c r="CP113" i="1"/>
  <c r="CO113" i="1"/>
  <c r="CN113" i="1"/>
  <c r="CL113" i="1"/>
  <c r="CK113" i="1"/>
  <c r="CJ113" i="1"/>
  <c r="CI113" i="1"/>
  <c r="CG113" i="1"/>
  <c r="CF113" i="1"/>
  <c r="CB113" i="1"/>
  <c r="CA113" i="1"/>
  <c r="BZ113" i="1"/>
  <c r="BY113" i="1"/>
  <c r="BX113" i="1"/>
  <c r="BW113" i="1"/>
  <c r="BV113" i="1"/>
  <c r="BU113" i="1"/>
  <c r="BT113" i="1"/>
  <c r="BS113" i="1"/>
  <c r="BR113" i="1"/>
  <c r="BO113" i="1"/>
  <c r="BM113" i="1"/>
  <c r="BL113" i="1"/>
  <c r="BK113" i="1"/>
  <c r="BJ113" i="1"/>
  <c r="BI113" i="1"/>
  <c r="BG113" i="1"/>
  <c r="BE113" i="1"/>
  <c r="BB113" i="1"/>
  <c r="BA113" i="1"/>
  <c r="AZ113" i="1"/>
  <c r="AY113" i="1"/>
  <c r="AX113" i="1"/>
  <c r="AW113" i="1"/>
  <c r="AV113" i="1"/>
  <c r="AU113" i="1"/>
  <c r="AT113" i="1"/>
  <c r="AS113" i="1"/>
  <c r="AQ113" i="1"/>
  <c r="AP113" i="1"/>
  <c r="AO113" i="1"/>
  <c r="AN113" i="1"/>
  <c r="AM113" i="1"/>
  <c r="AL113" i="1"/>
  <c r="AK113" i="1"/>
  <c r="AJ113" i="1"/>
  <c r="AI113" i="1"/>
  <c r="AH113" i="1"/>
  <c r="AG113" i="1"/>
  <c r="AE113" i="1"/>
  <c r="AD113" i="1"/>
  <c r="AC113" i="1"/>
  <c r="AB113" i="1"/>
  <c r="AA113" i="1"/>
  <c r="Z113" i="1"/>
  <c r="Y113" i="1"/>
  <c r="X113" i="1"/>
  <c r="W113" i="1"/>
  <c r="U113" i="1"/>
  <c r="T113" i="1"/>
  <c r="S113" i="1"/>
  <c r="R113" i="1"/>
  <c r="P113" i="1"/>
  <c r="O113" i="1"/>
  <c r="N113" i="1"/>
  <c r="M113" i="1"/>
  <c r="L113" i="1"/>
  <c r="K113" i="1"/>
  <c r="I113" i="1"/>
  <c r="H113" i="1"/>
  <c r="CV115" i="1"/>
  <c r="CM115" i="1"/>
  <c r="CH115" i="1"/>
  <c r="CE115" i="1"/>
  <c r="BQ115" i="1"/>
  <c r="BH115" i="1"/>
  <c r="BD115" i="1"/>
  <c r="AF115" i="1"/>
  <c r="V115" i="1"/>
  <c r="Q115" i="1"/>
  <c r="M172" i="1"/>
  <c r="I81" i="1"/>
  <c r="H81" i="1"/>
  <c r="Z43" i="1"/>
  <c r="Y43" i="1"/>
  <c r="P35" i="1"/>
  <c r="BP293" i="1" l="1"/>
  <c r="BP124" i="1"/>
  <c r="BP170" i="1"/>
  <c r="BP225" i="1"/>
  <c r="BC115" i="1"/>
  <c r="CD115" i="1"/>
  <c r="CU115" i="1"/>
  <c r="BP183" i="1"/>
  <c r="BP296" i="1"/>
  <c r="BP160" i="1"/>
  <c r="BP219" i="1"/>
  <c r="BP222" i="1"/>
  <c r="BP100" i="1"/>
  <c r="BP112" i="1"/>
  <c r="BP235" i="1"/>
  <c r="BF113" i="1"/>
  <c r="BP103" i="1"/>
  <c r="BP107" i="1"/>
  <c r="BP49" i="1"/>
  <c r="BP11" i="1"/>
  <c r="BP60" i="1"/>
  <c r="BP65" i="1"/>
  <c r="BP88" i="1"/>
  <c r="BP145" i="1"/>
  <c r="BP70" i="1"/>
  <c r="BU193" i="1"/>
  <c r="CC115" i="1" l="1"/>
  <c r="BP229" i="1"/>
  <c r="CG156" i="1"/>
  <c r="P156" i="1"/>
  <c r="BP316" i="1" l="1"/>
  <c r="CB206" i="1"/>
  <c r="CG200" i="1"/>
  <c r="I200" i="1"/>
  <c r="H200" i="1"/>
  <c r="P187" i="1"/>
  <c r="K187" i="1"/>
  <c r="P177" i="1"/>
  <c r="M177" i="1"/>
  <c r="K177" i="1"/>
  <c r="I178" i="1"/>
  <c r="H178" i="1"/>
  <c r="H177" i="1"/>
  <c r="I175" i="1"/>
  <c r="I174" i="1"/>
  <c r="H175" i="1"/>
  <c r="H174" i="1"/>
  <c r="CN172" i="1"/>
  <c r="AW172" i="1"/>
  <c r="AU172" i="1"/>
  <c r="AI172" i="1"/>
  <c r="L172" i="1"/>
  <c r="U164" i="1"/>
  <c r="K155" i="1"/>
  <c r="P155" i="1"/>
  <c r="CG147" i="1"/>
  <c r="AT148" i="1"/>
  <c r="AT147" i="1"/>
  <c r="BB143" i="1"/>
  <c r="AJ143" i="1"/>
  <c r="M140" i="1"/>
  <c r="K140" i="1"/>
  <c r="BT135" i="1"/>
  <c r="P136" i="1"/>
  <c r="P135" i="1"/>
  <c r="O136" i="1"/>
  <c r="K136" i="1"/>
  <c r="K135" i="1"/>
  <c r="I136" i="1"/>
  <c r="I135" i="1"/>
  <c r="H136" i="1"/>
  <c r="H135" i="1"/>
  <c r="CG130" i="1"/>
  <c r="CA131" i="1"/>
  <c r="BB131" i="1"/>
  <c r="BB130" i="1"/>
  <c r="AN130" i="1"/>
  <c r="AL130" i="1"/>
  <c r="AJ130" i="1"/>
  <c r="AI130" i="1"/>
  <c r="AA130" i="1"/>
  <c r="Z131" i="1"/>
  <c r="W131" i="1"/>
  <c r="W130" i="1"/>
  <c r="P130" i="1"/>
  <c r="M130" i="1"/>
  <c r="K131" i="1"/>
  <c r="K130" i="1"/>
  <c r="I130" i="1"/>
  <c r="H130" i="1"/>
  <c r="P128" i="1"/>
  <c r="K128" i="1"/>
  <c r="P127" i="1"/>
  <c r="M127" i="1"/>
  <c r="K127" i="1"/>
  <c r="P126" i="1"/>
  <c r="M126" i="1"/>
  <c r="K126" i="1"/>
  <c r="L77" i="1"/>
  <c r="N77" i="1"/>
  <c r="O77" i="1"/>
  <c r="BO75" i="1"/>
  <c r="AJ75" i="1"/>
  <c r="AI75" i="1"/>
  <c r="AA75" i="1"/>
  <c r="W75" i="1"/>
  <c r="O75" i="1"/>
  <c r="M75" i="1"/>
  <c r="AO72" i="1"/>
  <c r="L72" i="1"/>
  <c r="K72" i="1"/>
  <c r="U69" i="1"/>
  <c r="L69" i="1"/>
  <c r="CG67" i="1"/>
  <c r="BA67" i="1"/>
  <c r="AT67" i="1"/>
  <c r="AS67" i="1"/>
  <c r="AQ67" i="1"/>
  <c r="AO67" i="1"/>
  <c r="AN67" i="1"/>
  <c r="AL67" i="1"/>
  <c r="AK67" i="1"/>
  <c r="AJ67" i="1"/>
  <c r="AA67" i="1"/>
  <c r="U67" i="1"/>
  <c r="R67" i="1"/>
  <c r="O67" i="1"/>
  <c r="N67" i="1"/>
  <c r="L67" i="1"/>
  <c r="K67" i="1"/>
  <c r="S62" i="1"/>
  <c r="CO55" i="1"/>
  <c r="AA55" i="1"/>
  <c r="L55" i="1"/>
  <c r="U48" i="1"/>
  <c r="CG43" i="1"/>
  <c r="O43" i="1"/>
  <c r="AA31" i="1"/>
  <c r="CG22" i="1"/>
  <c r="BB22" i="1"/>
  <c r="AN22" i="1"/>
  <c r="AA20" i="1"/>
  <c r="I155" i="1" l="1"/>
  <c r="H155" i="1"/>
  <c r="H33" i="1"/>
  <c r="I205" i="1"/>
  <c r="H205" i="1"/>
  <c r="W169" i="1"/>
  <c r="V169" i="1" s="1"/>
  <c r="CG275" i="1"/>
  <c r="CG274" i="1"/>
  <c r="CB204" i="1"/>
  <c r="CA203" i="1"/>
  <c r="CA202" i="1"/>
  <c r="CA201" i="1"/>
  <c r="CA191" i="1"/>
  <c r="CN169" i="1"/>
  <c r="CN168" i="1"/>
  <c r="CG164" i="1"/>
  <c r="CG162" i="1"/>
  <c r="CA35" i="1"/>
  <c r="BQ35" i="1" s="1"/>
  <c r="CG29" i="1"/>
  <c r="CG28" i="1"/>
  <c r="CE28" i="1" s="1"/>
  <c r="CA28" i="1"/>
  <c r="BB275" i="1"/>
  <c r="AL275" i="1"/>
  <c r="AJ275" i="1"/>
  <c r="AI275" i="1"/>
  <c r="BB274" i="1"/>
  <c r="AT274" i="1"/>
  <c r="AL274" i="1"/>
  <c r="AI274" i="1"/>
  <c r="AD274" i="1"/>
  <c r="AC218" i="1"/>
  <c r="AC209" i="1"/>
  <c r="V209" i="1" s="1"/>
  <c r="AO169" i="1"/>
  <c r="AJ169" i="1"/>
  <c r="AI169" i="1"/>
  <c r="AO168" i="1"/>
  <c r="AJ168" i="1"/>
  <c r="AI168" i="1"/>
  <c r="BB165" i="1"/>
  <c r="BB163" i="1"/>
  <c r="AF163" i="1" s="1"/>
  <c r="AT164" i="1"/>
  <c r="AT162" i="1"/>
  <c r="BB123" i="1"/>
  <c r="AF123" i="1" s="1"/>
  <c r="BB122" i="1"/>
  <c r="AF122" i="1" s="1"/>
  <c r="BG118" i="1"/>
  <c r="BG117" i="1"/>
  <c r="BB35" i="1"/>
  <c r="AT35" i="1"/>
  <c r="AP35" i="1"/>
  <c r="AN35" i="1"/>
  <c r="AL35" i="1"/>
  <c r="AK35" i="1"/>
  <c r="AJ35" i="1"/>
  <c r="AI35" i="1"/>
  <c r="BB29" i="1"/>
  <c r="AT29" i="1"/>
  <c r="AT18" i="1" s="1"/>
  <c r="AP29" i="1"/>
  <c r="AN29" i="1"/>
  <c r="AL29" i="1"/>
  <c r="AJ29" i="1"/>
  <c r="AI29" i="1"/>
  <c r="BB28" i="1"/>
  <c r="AP28" i="1"/>
  <c r="AP18" i="1" s="1"/>
  <c r="AN28" i="1"/>
  <c r="AL28" i="1"/>
  <c r="AL18" i="1" s="1"/>
  <c r="AK28" i="1"/>
  <c r="AK18" i="1" s="1"/>
  <c r="AI28" i="1"/>
  <c r="AA275" i="1"/>
  <c r="Z275" i="1"/>
  <c r="U275" i="1"/>
  <c r="O275" i="1"/>
  <c r="AB274" i="1"/>
  <c r="AA274" i="1"/>
  <c r="W274" i="1"/>
  <c r="U274" i="1"/>
  <c r="S274" i="1"/>
  <c r="P274" i="1"/>
  <c r="O274" i="1"/>
  <c r="K274" i="1"/>
  <c r="H248" i="1"/>
  <c r="I234" i="1"/>
  <c r="H234" i="1"/>
  <c r="I199" i="1"/>
  <c r="H199" i="1"/>
  <c r="I189" i="1"/>
  <c r="H189" i="1"/>
  <c r="I188" i="1"/>
  <c r="H188" i="1"/>
  <c r="I187" i="1"/>
  <c r="H187" i="1"/>
  <c r="I182" i="1"/>
  <c r="H182" i="1"/>
  <c r="I177" i="1"/>
  <c r="U169" i="1"/>
  <c r="P169" i="1"/>
  <c r="O169" i="1"/>
  <c r="I169" i="1"/>
  <c r="H169" i="1"/>
  <c r="W168" i="1"/>
  <c r="U168" i="1"/>
  <c r="P168" i="1"/>
  <c r="O168" i="1"/>
  <c r="I168" i="1"/>
  <c r="H168" i="1"/>
  <c r="I167" i="1"/>
  <c r="H167" i="1"/>
  <c r="Y164" i="1"/>
  <c r="V164" i="1" s="1"/>
  <c r="S164" i="1"/>
  <c r="P164" i="1"/>
  <c r="O164" i="1"/>
  <c r="I164" i="1"/>
  <c r="H164" i="1"/>
  <c r="Y162" i="1"/>
  <c r="U162" i="1"/>
  <c r="U161" i="1" s="1"/>
  <c r="S162" i="1"/>
  <c r="P162" i="1"/>
  <c r="O162" i="1"/>
  <c r="I162" i="1"/>
  <c r="H162" i="1"/>
  <c r="I158" i="1"/>
  <c r="H158" i="1"/>
  <c r="I157" i="1"/>
  <c r="H157" i="1"/>
  <c r="I156" i="1"/>
  <c r="H156" i="1"/>
  <c r="I154" i="1"/>
  <c r="H154" i="1"/>
  <c r="I149" i="1"/>
  <c r="H149" i="1"/>
  <c r="I148" i="1"/>
  <c r="H148" i="1"/>
  <c r="I147" i="1"/>
  <c r="H147" i="1"/>
  <c r="I144" i="1"/>
  <c r="H144" i="1"/>
  <c r="I143" i="1"/>
  <c r="I141" i="1" s="1"/>
  <c r="H143" i="1"/>
  <c r="I140" i="1"/>
  <c r="H140" i="1"/>
  <c r="I138" i="1"/>
  <c r="H138" i="1"/>
  <c r="I132" i="1"/>
  <c r="H132" i="1"/>
  <c r="I131" i="1"/>
  <c r="I129" i="1" s="1"/>
  <c r="H131" i="1"/>
  <c r="I128" i="1"/>
  <c r="H128" i="1"/>
  <c r="I127" i="1"/>
  <c r="H127" i="1"/>
  <c r="I126" i="1"/>
  <c r="I125" i="1" s="1"/>
  <c r="H126" i="1"/>
  <c r="I111" i="1"/>
  <c r="I110" i="1" s="1"/>
  <c r="H111" i="1"/>
  <c r="I106" i="1"/>
  <c r="H106" i="1"/>
  <c r="I105" i="1"/>
  <c r="H105" i="1"/>
  <c r="I98" i="1"/>
  <c r="I92" i="1" s="1"/>
  <c r="H98" i="1"/>
  <c r="I91" i="1"/>
  <c r="H91" i="1"/>
  <c r="I90" i="1"/>
  <c r="I89" i="1" s="1"/>
  <c r="H90" i="1"/>
  <c r="I87" i="1"/>
  <c r="H87" i="1"/>
  <c r="I85" i="1"/>
  <c r="H85" i="1"/>
  <c r="I83" i="1"/>
  <c r="I82" i="1" s="1"/>
  <c r="H83" i="1"/>
  <c r="I79" i="1"/>
  <c r="H79" i="1"/>
  <c r="I77" i="1"/>
  <c r="I76" i="1" s="1"/>
  <c r="H77" i="1"/>
  <c r="I75" i="1"/>
  <c r="H75" i="1"/>
  <c r="I74" i="1"/>
  <c r="I72" i="1"/>
  <c r="I69" i="1"/>
  <c r="I68" i="1" s="1"/>
  <c r="I67" i="1"/>
  <c r="H66" i="1"/>
  <c r="I62" i="1"/>
  <c r="H62" i="1"/>
  <c r="H61" i="1" s="1"/>
  <c r="I57" i="1"/>
  <c r="H57" i="1"/>
  <c r="H56" i="1" s="1"/>
  <c r="I55" i="1"/>
  <c r="H55" i="1"/>
  <c r="I53" i="1"/>
  <c r="H53" i="1"/>
  <c r="H52" i="1" s="1"/>
  <c r="I51" i="1"/>
  <c r="H51" i="1"/>
  <c r="I48" i="1"/>
  <c r="H48" i="1"/>
  <c r="H47" i="1" s="1"/>
  <c r="I43" i="1"/>
  <c r="H43" i="1"/>
  <c r="I41" i="1"/>
  <c r="H41" i="1"/>
  <c r="I40" i="1"/>
  <c r="H40" i="1"/>
  <c r="I39" i="1"/>
  <c r="H39" i="1"/>
  <c r="I37" i="1"/>
  <c r="H37" i="1"/>
  <c r="AA35" i="1"/>
  <c r="Z35" i="1"/>
  <c r="Y35" i="1"/>
  <c r="U35" i="1"/>
  <c r="S35" i="1"/>
  <c r="Q35" i="1" s="1"/>
  <c r="O35" i="1"/>
  <c r="J35" i="1" s="1"/>
  <c r="I35" i="1"/>
  <c r="H35" i="1"/>
  <c r="I33" i="1"/>
  <c r="I32" i="1"/>
  <c r="H32" i="1"/>
  <c r="I31" i="1"/>
  <c r="H31" i="1"/>
  <c r="I30" i="1"/>
  <c r="H30" i="1"/>
  <c r="AA29" i="1"/>
  <c r="Z29" i="1"/>
  <c r="Y29" i="1"/>
  <c r="X29" i="1"/>
  <c r="U29" i="1"/>
  <c r="S29" i="1"/>
  <c r="P29" i="1"/>
  <c r="O29" i="1"/>
  <c r="I29" i="1"/>
  <c r="H29" i="1"/>
  <c r="AA28" i="1"/>
  <c r="Z28" i="1"/>
  <c r="Y28" i="1"/>
  <c r="Y18" i="1" s="1"/>
  <c r="X28" i="1"/>
  <c r="X18" i="1" s="1"/>
  <c r="U28" i="1"/>
  <c r="U18" i="1" s="1"/>
  <c r="P28" i="1"/>
  <c r="O28" i="1"/>
  <c r="I28" i="1"/>
  <c r="H28" i="1"/>
  <c r="I26" i="1"/>
  <c r="H26" i="1"/>
  <c r="I25" i="1"/>
  <c r="H25" i="1"/>
  <c r="I24" i="1"/>
  <c r="H24" i="1"/>
  <c r="I22" i="1"/>
  <c r="H22" i="1"/>
  <c r="I21" i="1"/>
  <c r="H21" i="1"/>
  <c r="I20" i="1"/>
  <c r="H20" i="1"/>
  <c r="I17" i="1"/>
  <c r="I14" i="1" s="1"/>
  <c r="H17" i="1"/>
  <c r="H14" i="1" s="1"/>
  <c r="I13" i="1"/>
  <c r="H13" i="1"/>
  <c r="H12" i="1" s="1"/>
  <c r="CV274" i="1"/>
  <c r="CM274" i="1"/>
  <c r="CH274" i="1"/>
  <c r="BQ274" i="1"/>
  <c r="BN274" i="1"/>
  <c r="BH274" i="1"/>
  <c r="BD274" i="1"/>
  <c r="CV273" i="1"/>
  <c r="CM273" i="1"/>
  <c r="CH273" i="1"/>
  <c r="CE273" i="1"/>
  <c r="BQ273" i="1"/>
  <c r="BN273" i="1"/>
  <c r="BH273" i="1"/>
  <c r="BD273" i="1"/>
  <c r="AF273" i="1"/>
  <c r="V273" i="1"/>
  <c r="Q273" i="1"/>
  <c r="J273" i="1"/>
  <c r="CV217" i="1"/>
  <c r="CM217" i="1"/>
  <c r="CH217" i="1"/>
  <c r="CE217" i="1"/>
  <c r="BQ217" i="1"/>
  <c r="BN217" i="1"/>
  <c r="BH217" i="1"/>
  <c r="BD217" i="1"/>
  <c r="AF217" i="1"/>
  <c r="V217" i="1"/>
  <c r="Q217" i="1"/>
  <c r="J217" i="1"/>
  <c r="CV164" i="1"/>
  <c r="CM164" i="1"/>
  <c r="CH164" i="1"/>
  <c r="BQ164" i="1"/>
  <c r="BN164" i="1"/>
  <c r="BH164" i="1"/>
  <c r="BD164" i="1"/>
  <c r="CV163" i="1"/>
  <c r="CM163" i="1"/>
  <c r="CH163" i="1"/>
  <c r="CE163" i="1"/>
  <c r="BQ163" i="1"/>
  <c r="BN163" i="1"/>
  <c r="BH163" i="1"/>
  <c r="BD163" i="1"/>
  <c r="V163" i="1"/>
  <c r="Q163" i="1"/>
  <c r="J163" i="1"/>
  <c r="CX121" i="1"/>
  <c r="CW121" i="1"/>
  <c r="CT121" i="1"/>
  <c r="CS121" i="1"/>
  <c r="CR121" i="1"/>
  <c r="CQ121" i="1"/>
  <c r="CP121" i="1"/>
  <c r="CO121" i="1"/>
  <c r="CN121" i="1"/>
  <c r="CL121" i="1"/>
  <c r="CK121" i="1"/>
  <c r="CJ121" i="1"/>
  <c r="CI121" i="1"/>
  <c r="CG121" i="1"/>
  <c r="CF121" i="1"/>
  <c r="CB121" i="1"/>
  <c r="CA121" i="1"/>
  <c r="BZ121" i="1"/>
  <c r="BY121" i="1"/>
  <c r="BX121" i="1"/>
  <c r="BW121" i="1"/>
  <c r="BV121" i="1"/>
  <c r="BU121" i="1"/>
  <c r="BT121" i="1"/>
  <c r="BS121" i="1"/>
  <c r="BR121" i="1"/>
  <c r="BO121" i="1"/>
  <c r="BM121" i="1"/>
  <c r="BL121" i="1"/>
  <c r="BK121" i="1"/>
  <c r="BJ121" i="1"/>
  <c r="BI121" i="1"/>
  <c r="BG121" i="1"/>
  <c r="BF121" i="1"/>
  <c r="BE121" i="1"/>
  <c r="BA121" i="1"/>
  <c r="AZ121" i="1"/>
  <c r="AY121" i="1"/>
  <c r="AX121" i="1"/>
  <c r="AW121" i="1"/>
  <c r="AV121" i="1"/>
  <c r="AU121" i="1"/>
  <c r="AT121" i="1"/>
  <c r="AS121" i="1"/>
  <c r="AQ121" i="1"/>
  <c r="AP121" i="1"/>
  <c r="AO121" i="1"/>
  <c r="AN121" i="1"/>
  <c r="AM121" i="1"/>
  <c r="AL121" i="1"/>
  <c r="AK121" i="1"/>
  <c r="AJ121" i="1"/>
  <c r="AI121" i="1"/>
  <c r="AH121" i="1"/>
  <c r="AG121" i="1"/>
  <c r="AE121" i="1"/>
  <c r="AD121" i="1"/>
  <c r="AC121" i="1"/>
  <c r="AB121" i="1"/>
  <c r="AA121" i="1"/>
  <c r="Z121" i="1"/>
  <c r="Y121" i="1"/>
  <c r="X121" i="1"/>
  <c r="W121" i="1"/>
  <c r="U121" i="1"/>
  <c r="T121" i="1"/>
  <c r="S121" i="1"/>
  <c r="R121" i="1"/>
  <c r="P121" i="1"/>
  <c r="O121" i="1"/>
  <c r="N121" i="1"/>
  <c r="M121" i="1"/>
  <c r="L121" i="1"/>
  <c r="K121" i="1"/>
  <c r="J126" i="1" s="1"/>
  <c r="I121" i="1"/>
  <c r="H121" i="1"/>
  <c r="CV122" i="1"/>
  <c r="CM122" i="1"/>
  <c r="CH122" i="1"/>
  <c r="CE122" i="1"/>
  <c r="BQ122" i="1"/>
  <c r="BN122" i="1"/>
  <c r="BH122" i="1"/>
  <c r="BD122" i="1"/>
  <c r="V122" i="1"/>
  <c r="Q122" i="1"/>
  <c r="J122" i="1"/>
  <c r="CX116" i="1"/>
  <c r="CW116" i="1"/>
  <c r="CT116" i="1"/>
  <c r="CS116" i="1"/>
  <c r="CR116" i="1"/>
  <c r="CQ116" i="1"/>
  <c r="CP116" i="1"/>
  <c r="CO116" i="1"/>
  <c r="CN116" i="1"/>
  <c r="CL116" i="1"/>
  <c r="CK116" i="1"/>
  <c r="CJ116" i="1"/>
  <c r="CI116" i="1"/>
  <c r="CG116" i="1"/>
  <c r="CF116" i="1"/>
  <c r="CB116" i="1"/>
  <c r="CA116" i="1"/>
  <c r="BZ116" i="1"/>
  <c r="BY116" i="1"/>
  <c r="BX116" i="1"/>
  <c r="BW116" i="1"/>
  <c r="BV116" i="1"/>
  <c r="BU116" i="1"/>
  <c r="BT116" i="1"/>
  <c r="BS116" i="1"/>
  <c r="BR116" i="1"/>
  <c r="BO116" i="1"/>
  <c r="BM116" i="1"/>
  <c r="BL116" i="1"/>
  <c r="BK116" i="1"/>
  <c r="BJ116" i="1"/>
  <c r="BI116" i="1"/>
  <c r="BF116" i="1"/>
  <c r="BE116" i="1"/>
  <c r="BB116" i="1"/>
  <c r="BA116" i="1"/>
  <c r="AZ116" i="1"/>
  <c r="AY116" i="1"/>
  <c r="AX116" i="1"/>
  <c r="AW116" i="1"/>
  <c r="AV116" i="1"/>
  <c r="AU116" i="1"/>
  <c r="AT116" i="1"/>
  <c r="AS116" i="1"/>
  <c r="AQ116" i="1"/>
  <c r="AP116" i="1"/>
  <c r="AO116" i="1"/>
  <c r="AN116" i="1"/>
  <c r="AM116" i="1"/>
  <c r="AL116" i="1"/>
  <c r="AK116" i="1"/>
  <c r="AJ116" i="1"/>
  <c r="AI116" i="1"/>
  <c r="AH116" i="1"/>
  <c r="AG116" i="1"/>
  <c r="AE116" i="1"/>
  <c r="AD116" i="1"/>
  <c r="AC116" i="1"/>
  <c r="AB116" i="1"/>
  <c r="AA116" i="1"/>
  <c r="Z116" i="1"/>
  <c r="Y116" i="1"/>
  <c r="X116" i="1"/>
  <c r="W116" i="1"/>
  <c r="U116" i="1"/>
  <c r="T116" i="1"/>
  <c r="S116" i="1"/>
  <c r="R116" i="1"/>
  <c r="P116" i="1"/>
  <c r="O116" i="1"/>
  <c r="N116" i="1"/>
  <c r="M116" i="1"/>
  <c r="L116" i="1"/>
  <c r="K116" i="1"/>
  <c r="I116" i="1"/>
  <c r="H116" i="1"/>
  <c r="CV118" i="1"/>
  <c r="CM118" i="1"/>
  <c r="CH118" i="1"/>
  <c r="CE118" i="1"/>
  <c r="BQ118" i="1"/>
  <c r="BN118" i="1"/>
  <c r="BH118" i="1"/>
  <c r="AF118" i="1"/>
  <c r="V118" i="1"/>
  <c r="Q118" i="1"/>
  <c r="J118" i="1"/>
  <c r="CV315" i="1"/>
  <c r="CV314" i="1" s="1"/>
  <c r="CM315" i="1"/>
  <c r="CH315" i="1"/>
  <c r="CE315" i="1"/>
  <c r="BQ315" i="1"/>
  <c r="BN315" i="1"/>
  <c r="BH315" i="1"/>
  <c r="BD315" i="1"/>
  <c r="AF315" i="1"/>
  <c r="V315" i="1"/>
  <c r="Q315" i="1"/>
  <c r="CX314" i="1"/>
  <c r="CW314" i="1"/>
  <c r="CT314" i="1"/>
  <c r="CS314" i="1"/>
  <c r="CR314" i="1"/>
  <c r="CQ314" i="1"/>
  <c r="CO314" i="1"/>
  <c r="CN314" i="1"/>
  <c r="CL314" i="1"/>
  <c r="CK314" i="1"/>
  <c r="CJ314" i="1"/>
  <c r="CI314" i="1"/>
  <c r="CG314" i="1"/>
  <c r="CF314" i="1"/>
  <c r="CB314" i="1"/>
  <c r="CA314" i="1"/>
  <c r="BZ314" i="1"/>
  <c r="BY314" i="1"/>
  <c r="BX314" i="1"/>
  <c r="BW314" i="1"/>
  <c r="BV314" i="1"/>
  <c r="BU314" i="1"/>
  <c r="BT314" i="1"/>
  <c r="BS314" i="1"/>
  <c r="BR314" i="1"/>
  <c r="BO314" i="1"/>
  <c r="BM314" i="1"/>
  <c r="BL314" i="1"/>
  <c r="BK314" i="1"/>
  <c r="BJ314" i="1"/>
  <c r="BI314" i="1"/>
  <c r="BG314" i="1"/>
  <c r="BF314" i="1"/>
  <c r="BE314" i="1"/>
  <c r="BB314" i="1"/>
  <c r="BA314" i="1"/>
  <c r="AZ314" i="1"/>
  <c r="AY314" i="1"/>
  <c r="AX314" i="1"/>
  <c r="AW314" i="1"/>
  <c r="AV314" i="1"/>
  <c r="AU314" i="1"/>
  <c r="AT314" i="1"/>
  <c r="AS314" i="1"/>
  <c r="AQ314" i="1"/>
  <c r="AP314" i="1"/>
  <c r="AO314" i="1"/>
  <c r="AN314" i="1"/>
  <c r="AM314" i="1"/>
  <c r="AL314" i="1"/>
  <c r="AK314" i="1"/>
  <c r="AJ314" i="1"/>
  <c r="AI314" i="1"/>
  <c r="AH314" i="1"/>
  <c r="AG314" i="1"/>
  <c r="AE314" i="1"/>
  <c r="AD314" i="1"/>
  <c r="AC314" i="1"/>
  <c r="AB314" i="1"/>
  <c r="AA314" i="1"/>
  <c r="Z314" i="1"/>
  <c r="Y314" i="1"/>
  <c r="X314" i="1"/>
  <c r="W314" i="1"/>
  <c r="U314" i="1"/>
  <c r="T314" i="1"/>
  <c r="S314" i="1"/>
  <c r="R314" i="1"/>
  <c r="P314" i="1"/>
  <c r="O314" i="1"/>
  <c r="N314" i="1"/>
  <c r="M314" i="1"/>
  <c r="L314" i="1"/>
  <c r="K314" i="1"/>
  <c r="I314" i="1"/>
  <c r="H314" i="1"/>
  <c r="CV313" i="1"/>
  <c r="CM313" i="1"/>
  <c r="CH313" i="1"/>
  <c r="CE313" i="1"/>
  <c r="BQ313" i="1"/>
  <c r="BN313" i="1"/>
  <c r="BH313" i="1"/>
  <c r="BD313" i="1"/>
  <c r="AF313" i="1"/>
  <c r="V313" i="1"/>
  <c r="Q313" i="1"/>
  <c r="CX312" i="1"/>
  <c r="CW312" i="1"/>
  <c r="CT312" i="1"/>
  <c r="CS312" i="1"/>
  <c r="CR312" i="1"/>
  <c r="CQ312" i="1"/>
  <c r="CO312" i="1"/>
  <c r="CN312" i="1"/>
  <c r="CL312" i="1"/>
  <c r="CK312" i="1"/>
  <c r="CJ312" i="1"/>
  <c r="CI312" i="1"/>
  <c r="CG312" i="1"/>
  <c r="CF312" i="1"/>
  <c r="CB312" i="1"/>
  <c r="CA312" i="1"/>
  <c r="BZ312" i="1"/>
  <c r="BY312" i="1"/>
  <c r="BX312" i="1"/>
  <c r="BW312" i="1"/>
  <c r="BV312" i="1"/>
  <c r="BU312" i="1"/>
  <c r="BT312" i="1"/>
  <c r="BS312" i="1"/>
  <c r="BR312" i="1"/>
  <c r="BO312" i="1"/>
  <c r="BM312" i="1"/>
  <c r="BL312" i="1"/>
  <c r="BK312" i="1"/>
  <c r="BJ312" i="1"/>
  <c r="BI312" i="1"/>
  <c r="BG312" i="1"/>
  <c r="BF312" i="1"/>
  <c r="BE312" i="1"/>
  <c r="BB312" i="1"/>
  <c r="BA312" i="1"/>
  <c r="AZ312" i="1"/>
  <c r="AY312" i="1"/>
  <c r="AX312" i="1"/>
  <c r="AW312" i="1"/>
  <c r="AV312" i="1"/>
  <c r="AU312" i="1"/>
  <c r="AT312" i="1"/>
  <c r="AS312" i="1"/>
  <c r="AQ312" i="1"/>
  <c r="AP312" i="1"/>
  <c r="AO312" i="1"/>
  <c r="AN312" i="1"/>
  <c r="AM312" i="1"/>
  <c r="AL312" i="1"/>
  <c r="AK312" i="1"/>
  <c r="AJ312" i="1"/>
  <c r="AI312" i="1"/>
  <c r="AH312" i="1"/>
  <c r="AG312" i="1"/>
  <c r="AE312" i="1"/>
  <c r="AD312" i="1"/>
  <c r="AC312" i="1"/>
  <c r="AB312" i="1"/>
  <c r="AA312" i="1"/>
  <c r="Z312" i="1"/>
  <c r="Y312" i="1"/>
  <c r="X312" i="1"/>
  <c r="W312" i="1"/>
  <c r="U312" i="1"/>
  <c r="T312" i="1"/>
  <c r="S312" i="1"/>
  <c r="R312" i="1"/>
  <c r="P312" i="1"/>
  <c r="O312" i="1"/>
  <c r="N312" i="1"/>
  <c r="M312" i="1"/>
  <c r="L312" i="1"/>
  <c r="K312" i="1"/>
  <c r="I312" i="1"/>
  <c r="H312" i="1"/>
  <c r="CV311" i="1"/>
  <c r="CM311" i="1"/>
  <c r="CH311" i="1"/>
  <c r="CE311" i="1"/>
  <c r="BQ311" i="1"/>
  <c r="BN311" i="1"/>
  <c r="BH311" i="1"/>
  <c r="BH310" i="1" s="1"/>
  <c r="BD311" i="1"/>
  <c r="AF311" i="1"/>
  <c r="V311" i="1"/>
  <c r="Q311" i="1"/>
  <c r="CX310" i="1"/>
  <c r="CW310" i="1"/>
  <c r="CT310" i="1"/>
  <c r="CS310" i="1"/>
  <c r="CR310" i="1"/>
  <c r="CQ310" i="1"/>
  <c r="CO310" i="1"/>
  <c r="CN310" i="1"/>
  <c r="CL310" i="1"/>
  <c r="CK310" i="1"/>
  <c r="CJ310" i="1"/>
  <c r="CI310" i="1"/>
  <c r="CG310" i="1"/>
  <c r="CF310" i="1"/>
  <c r="CB310" i="1"/>
  <c r="CA310" i="1"/>
  <c r="BZ310" i="1"/>
  <c r="BY310" i="1"/>
  <c r="BX310" i="1"/>
  <c r="BW310" i="1"/>
  <c r="BV310" i="1"/>
  <c r="BU310" i="1"/>
  <c r="BT310" i="1"/>
  <c r="BS310" i="1"/>
  <c r="BR310" i="1"/>
  <c r="BO310" i="1"/>
  <c r="BM310" i="1"/>
  <c r="BL310" i="1"/>
  <c r="BK310" i="1"/>
  <c r="BJ310" i="1"/>
  <c r="BI310" i="1"/>
  <c r="BG310" i="1"/>
  <c r="BF310" i="1"/>
  <c r="BE310" i="1"/>
  <c r="BB310" i="1"/>
  <c r="BA310" i="1"/>
  <c r="AZ310" i="1"/>
  <c r="AY310" i="1"/>
  <c r="AX310" i="1"/>
  <c r="AW310" i="1"/>
  <c r="AV310" i="1"/>
  <c r="AU310" i="1"/>
  <c r="AT310" i="1"/>
  <c r="AS310" i="1"/>
  <c r="AQ310" i="1"/>
  <c r="AP310" i="1"/>
  <c r="AO310" i="1"/>
  <c r="AN310" i="1"/>
  <c r="AM310" i="1"/>
  <c r="AL310" i="1"/>
  <c r="AK310" i="1"/>
  <c r="AJ310" i="1"/>
  <c r="AI310" i="1"/>
  <c r="AH310" i="1"/>
  <c r="AG310" i="1"/>
  <c r="AE310" i="1"/>
  <c r="AD310" i="1"/>
  <c r="AC310" i="1"/>
  <c r="AB310" i="1"/>
  <c r="AA310" i="1"/>
  <c r="Z310" i="1"/>
  <c r="Y310" i="1"/>
  <c r="X310" i="1"/>
  <c r="W310" i="1"/>
  <c r="U310" i="1"/>
  <c r="T310" i="1"/>
  <c r="S310" i="1"/>
  <c r="R310" i="1"/>
  <c r="P310" i="1"/>
  <c r="O310" i="1"/>
  <c r="N310" i="1"/>
  <c r="M310" i="1"/>
  <c r="L310" i="1"/>
  <c r="K310" i="1"/>
  <c r="J315" i="1" s="1"/>
  <c r="I310" i="1"/>
  <c r="H310" i="1"/>
  <c r="CV309" i="1"/>
  <c r="CU309" i="1" s="1"/>
  <c r="CM309" i="1"/>
  <c r="CH309" i="1"/>
  <c r="CE309" i="1"/>
  <c r="BQ309" i="1"/>
  <c r="BN309" i="1"/>
  <c r="BH309" i="1"/>
  <c r="BD309" i="1"/>
  <c r="AF309" i="1"/>
  <c r="V309" i="1"/>
  <c r="Q309" i="1"/>
  <c r="CX308" i="1"/>
  <c r="CW308" i="1"/>
  <c r="CT308" i="1"/>
  <c r="CS308" i="1"/>
  <c r="CR308" i="1"/>
  <c r="CQ308" i="1"/>
  <c r="CO308" i="1"/>
  <c r="CN308" i="1"/>
  <c r="CL308" i="1"/>
  <c r="CK308" i="1"/>
  <c r="CJ308" i="1"/>
  <c r="CI308" i="1"/>
  <c r="CG308" i="1"/>
  <c r="CF308" i="1"/>
  <c r="CB308" i="1"/>
  <c r="CA308" i="1"/>
  <c r="BZ308" i="1"/>
  <c r="BY308" i="1"/>
  <c r="BX308" i="1"/>
  <c r="BW308" i="1"/>
  <c r="BV308" i="1"/>
  <c r="BU308" i="1"/>
  <c r="BT308" i="1"/>
  <c r="BS308" i="1"/>
  <c r="BR308" i="1"/>
  <c r="BO308" i="1"/>
  <c r="BM308" i="1"/>
  <c r="BL308" i="1"/>
  <c r="BK308" i="1"/>
  <c r="BJ308" i="1"/>
  <c r="BI308" i="1"/>
  <c r="BG308" i="1"/>
  <c r="BF308" i="1"/>
  <c r="BE308" i="1"/>
  <c r="BB308" i="1"/>
  <c r="BA308" i="1"/>
  <c r="AZ308" i="1"/>
  <c r="AY308" i="1"/>
  <c r="AX308" i="1"/>
  <c r="AW308" i="1"/>
  <c r="AV308" i="1"/>
  <c r="AU308" i="1"/>
  <c r="AT308" i="1"/>
  <c r="AS308" i="1"/>
  <c r="AQ308" i="1"/>
  <c r="AP308" i="1"/>
  <c r="AO308" i="1"/>
  <c r="AN308" i="1"/>
  <c r="AM308" i="1"/>
  <c r="AL308" i="1"/>
  <c r="AK308" i="1"/>
  <c r="AJ308" i="1"/>
  <c r="AI308" i="1"/>
  <c r="AH308" i="1"/>
  <c r="AG308" i="1"/>
  <c r="AE308" i="1"/>
  <c r="AD308" i="1"/>
  <c r="AC308" i="1"/>
  <c r="AB308" i="1"/>
  <c r="AA308" i="1"/>
  <c r="Z308" i="1"/>
  <c r="Y308" i="1"/>
  <c r="X308" i="1"/>
  <c r="W308" i="1"/>
  <c r="U308" i="1"/>
  <c r="T308" i="1"/>
  <c r="S308" i="1"/>
  <c r="R308" i="1"/>
  <c r="P308" i="1"/>
  <c r="O308" i="1"/>
  <c r="N308" i="1"/>
  <c r="M308" i="1"/>
  <c r="L308" i="1"/>
  <c r="K308" i="1"/>
  <c r="J313" i="1" s="1"/>
  <c r="I308" i="1"/>
  <c r="H308" i="1"/>
  <c r="CV307" i="1"/>
  <c r="CU307" i="1" s="1"/>
  <c r="CT307" i="1"/>
  <c r="CM307" i="1"/>
  <c r="CL306" i="1"/>
  <c r="CK307" i="1"/>
  <c r="CH307" i="1" s="1"/>
  <c r="BQ307" i="1"/>
  <c r="BN307" i="1"/>
  <c r="BN306" i="1" s="1"/>
  <c r="BH307" i="1"/>
  <c r="BD307" i="1"/>
  <c r="BB306" i="1"/>
  <c r="V307" i="1"/>
  <c r="Q307" i="1"/>
  <c r="P306" i="1"/>
  <c r="O306" i="1"/>
  <c r="K307" i="1"/>
  <c r="J307" i="1" s="1"/>
  <c r="CX306" i="1"/>
  <c r="CW306" i="1"/>
  <c r="CS306" i="1"/>
  <c r="CR306" i="1"/>
  <c r="CQ306" i="1"/>
  <c r="CO306" i="1"/>
  <c r="CN306" i="1"/>
  <c r="CI306" i="1"/>
  <c r="CF306" i="1"/>
  <c r="CB306" i="1"/>
  <c r="CA306" i="1"/>
  <c r="BZ306" i="1"/>
  <c r="BY306" i="1"/>
  <c r="BX306" i="1"/>
  <c r="BW306" i="1"/>
  <c r="BV306" i="1"/>
  <c r="BU306" i="1"/>
  <c r="BT306" i="1"/>
  <c r="BS306" i="1"/>
  <c r="BR306" i="1"/>
  <c r="BO306" i="1"/>
  <c r="BM306" i="1"/>
  <c r="BL306" i="1"/>
  <c r="BK306" i="1"/>
  <c r="BJ306" i="1"/>
  <c r="BI306" i="1"/>
  <c r="BG306" i="1"/>
  <c r="BF306" i="1"/>
  <c r="BE306" i="1"/>
  <c r="BA306" i="1"/>
  <c r="AZ306" i="1"/>
  <c r="AY306" i="1"/>
  <c r="AW306" i="1"/>
  <c r="AV306" i="1"/>
  <c r="AU306" i="1"/>
  <c r="AT306" i="1"/>
  <c r="AS306" i="1"/>
  <c r="AQ306" i="1"/>
  <c r="AP306" i="1"/>
  <c r="AO306" i="1"/>
  <c r="AN306" i="1"/>
  <c r="AM306" i="1"/>
  <c r="AL306" i="1"/>
  <c r="AK306" i="1"/>
  <c r="AJ306" i="1"/>
  <c r="AI306" i="1"/>
  <c r="AH306" i="1"/>
  <c r="AG306" i="1"/>
  <c r="AE306" i="1"/>
  <c r="AD306" i="1"/>
  <c r="AC306" i="1"/>
  <c r="AB306" i="1"/>
  <c r="AA306" i="1"/>
  <c r="Z306" i="1"/>
  <c r="Y306" i="1"/>
  <c r="X306" i="1"/>
  <c r="W306" i="1"/>
  <c r="U306" i="1"/>
  <c r="T306" i="1"/>
  <c r="S306" i="1"/>
  <c r="R306" i="1"/>
  <c r="N306" i="1"/>
  <c r="M306" i="1"/>
  <c r="L306" i="1"/>
  <c r="I306" i="1"/>
  <c r="H306" i="1"/>
  <c r="CV305" i="1"/>
  <c r="CM305" i="1"/>
  <c r="CH305" i="1"/>
  <c r="CE305" i="1"/>
  <c r="BQ305" i="1"/>
  <c r="BN305" i="1"/>
  <c r="BH305" i="1"/>
  <c r="BD305" i="1"/>
  <c r="AF305" i="1"/>
  <c r="V305" i="1"/>
  <c r="V304" i="1" s="1"/>
  <c r="Q305" i="1"/>
  <c r="J305" i="1"/>
  <c r="CX304" i="1"/>
  <c r="CW304" i="1"/>
  <c r="CT304" i="1"/>
  <c r="CS304" i="1"/>
  <c r="CR304" i="1"/>
  <c r="CQ304" i="1"/>
  <c r="CO304" i="1"/>
  <c r="CN304" i="1"/>
  <c r="CL304" i="1"/>
  <c r="CK304" i="1"/>
  <c r="CJ304" i="1"/>
  <c r="CI304" i="1"/>
  <c r="CH304" i="1"/>
  <c r="CG304" i="1"/>
  <c r="CF304" i="1"/>
  <c r="CB304" i="1"/>
  <c r="CA304" i="1"/>
  <c r="BZ304" i="1"/>
  <c r="BY304" i="1"/>
  <c r="BX304" i="1"/>
  <c r="BW304" i="1"/>
  <c r="BV304" i="1"/>
  <c r="BU304" i="1"/>
  <c r="BT304" i="1"/>
  <c r="BS304" i="1"/>
  <c r="BR304" i="1"/>
  <c r="BO304" i="1"/>
  <c r="BM304" i="1"/>
  <c r="BL304" i="1"/>
  <c r="BK304" i="1"/>
  <c r="BJ304" i="1"/>
  <c r="BI304" i="1"/>
  <c r="BG304" i="1"/>
  <c r="BF304" i="1"/>
  <c r="BE304" i="1"/>
  <c r="BB304" i="1"/>
  <c r="BA304" i="1"/>
  <c r="AZ304" i="1"/>
  <c r="AY304" i="1"/>
  <c r="AX304" i="1"/>
  <c r="AW304" i="1"/>
  <c r="AV304" i="1"/>
  <c r="AU304" i="1"/>
  <c r="AT304" i="1"/>
  <c r="AS304" i="1"/>
  <c r="AQ304" i="1"/>
  <c r="AP304" i="1"/>
  <c r="AO304" i="1"/>
  <c r="AN304" i="1"/>
  <c r="AM304" i="1"/>
  <c r="AL304" i="1"/>
  <c r="AK304" i="1"/>
  <c r="AJ304" i="1"/>
  <c r="AI304" i="1"/>
  <c r="AH304" i="1"/>
  <c r="AG304" i="1"/>
  <c r="AE304" i="1"/>
  <c r="AD304" i="1"/>
  <c r="AC304" i="1"/>
  <c r="AB304" i="1"/>
  <c r="AA304" i="1"/>
  <c r="Z304" i="1"/>
  <c r="Y304" i="1"/>
  <c r="X304" i="1"/>
  <c r="W304" i="1"/>
  <c r="U304" i="1"/>
  <c r="T304" i="1"/>
  <c r="S304" i="1"/>
  <c r="R304" i="1"/>
  <c r="P304" i="1"/>
  <c r="O304" i="1"/>
  <c r="N304" i="1"/>
  <c r="M304" i="1"/>
  <c r="L304" i="1"/>
  <c r="K304" i="1"/>
  <c r="J309" i="1" s="1"/>
  <c r="I304" i="1"/>
  <c r="H304" i="1"/>
  <c r="CV303" i="1"/>
  <c r="CU303" i="1" s="1"/>
  <c r="CM303" i="1"/>
  <c r="CH303" i="1"/>
  <c r="CH302" i="1" s="1"/>
  <c r="CE303" i="1"/>
  <c r="BQ303" i="1"/>
  <c r="BN303" i="1"/>
  <c r="BK303" i="1"/>
  <c r="BH303" i="1" s="1"/>
  <c r="BD303" i="1"/>
  <c r="AF303" i="1"/>
  <c r="V303" i="1"/>
  <c r="Q303" i="1"/>
  <c r="J303" i="1"/>
  <c r="CX302" i="1"/>
  <c r="CW302" i="1"/>
  <c r="CT302" i="1"/>
  <c r="CS302" i="1"/>
  <c r="CR302" i="1"/>
  <c r="CQ302" i="1"/>
  <c r="CO302" i="1"/>
  <c r="CN302" i="1"/>
  <c r="CL302" i="1"/>
  <c r="CK302" i="1"/>
  <c r="CJ302" i="1"/>
  <c r="CI302" i="1"/>
  <c r="CG302" i="1"/>
  <c r="CF302" i="1"/>
  <c r="CB302" i="1"/>
  <c r="CA302" i="1"/>
  <c r="BZ302" i="1"/>
  <c r="BY302" i="1"/>
  <c r="BX302" i="1"/>
  <c r="BW302" i="1"/>
  <c r="BV302" i="1"/>
  <c r="BU302" i="1"/>
  <c r="BT302" i="1"/>
  <c r="BS302" i="1"/>
  <c r="BR302" i="1"/>
  <c r="BR296" i="1" s="1"/>
  <c r="BO302" i="1"/>
  <c r="BM302" i="1"/>
  <c r="BL302" i="1"/>
  <c r="BJ302" i="1"/>
  <c r="BI302" i="1"/>
  <c r="BG302" i="1"/>
  <c r="BF302" i="1"/>
  <c r="BE302" i="1"/>
  <c r="BB302" i="1"/>
  <c r="BA302" i="1"/>
  <c r="AZ302" i="1"/>
  <c r="AY302" i="1"/>
  <c r="AX302" i="1"/>
  <c r="AW302" i="1"/>
  <c r="AV302" i="1"/>
  <c r="AU302" i="1"/>
  <c r="AT302" i="1"/>
  <c r="AS302" i="1"/>
  <c r="AQ302" i="1"/>
  <c r="AP302" i="1"/>
  <c r="AO302" i="1"/>
  <c r="AN302" i="1"/>
  <c r="AM302" i="1"/>
  <c r="AL302" i="1"/>
  <c r="AK302" i="1"/>
  <c r="AJ302" i="1"/>
  <c r="AI302" i="1"/>
  <c r="AH302" i="1"/>
  <c r="AG302" i="1"/>
  <c r="AE302" i="1"/>
  <c r="AD302" i="1"/>
  <c r="AC302" i="1"/>
  <c r="AB302" i="1"/>
  <c r="AA302" i="1"/>
  <c r="Z302" i="1"/>
  <c r="Y302" i="1"/>
  <c r="X302" i="1"/>
  <c r="W302" i="1"/>
  <c r="U302" i="1"/>
  <c r="T302" i="1"/>
  <c r="S302" i="1"/>
  <c r="R302" i="1"/>
  <c r="P302" i="1"/>
  <c r="O302" i="1"/>
  <c r="N302" i="1"/>
  <c r="M302" i="1"/>
  <c r="L302" i="1"/>
  <c r="K302" i="1"/>
  <c r="I302" i="1"/>
  <c r="H302" i="1"/>
  <c r="CV301" i="1"/>
  <c r="CM301" i="1"/>
  <c r="CH301" i="1"/>
  <c r="CE301" i="1"/>
  <c r="BQ301" i="1"/>
  <c r="BN301" i="1"/>
  <c r="BH301" i="1"/>
  <c r="BD301" i="1"/>
  <c r="AY301" i="1"/>
  <c r="AF301" i="1" s="1"/>
  <c r="V301" i="1"/>
  <c r="Q301" i="1"/>
  <c r="CV300" i="1"/>
  <c r="CM300" i="1"/>
  <c r="CH300" i="1"/>
  <c r="CE300" i="1"/>
  <c r="BQ300" i="1"/>
  <c r="BN300" i="1"/>
  <c r="BH300" i="1"/>
  <c r="BD300" i="1"/>
  <c r="AF300" i="1"/>
  <c r="V300" i="1"/>
  <c r="Q300" i="1"/>
  <c r="J300" i="1"/>
  <c r="CV299" i="1"/>
  <c r="CM299" i="1"/>
  <c r="CH299" i="1"/>
  <c r="CE299" i="1"/>
  <c r="BQ299" i="1"/>
  <c r="BN299" i="1"/>
  <c r="BH299" i="1"/>
  <c r="BD299" i="1"/>
  <c r="AF299" i="1"/>
  <c r="V299" i="1"/>
  <c r="Q299" i="1"/>
  <c r="CV295" i="1"/>
  <c r="CM295" i="1"/>
  <c r="CH295" i="1"/>
  <c r="CE295" i="1"/>
  <c r="BQ295" i="1"/>
  <c r="BN295" i="1"/>
  <c r="BH295" i="1"/>
  <c r="BD295" i="1"/>
  <c r="AF295" i="1"/>
  <c r="V295" i="1"/>
  <c r="V294" i="1" s="1"/>
  <c r="Q295" i="1"/>
  <c r="J295" i="1"/>
  <c r="CX294" i="1"/>
  <c r="CW294" i="1"/>
  <c r="CT294" i="1"/>
  <c r="CS294" i="1"/>
  <c r="CS293" i="1" s="1"/>
  <c r="CR294" i="1"/>
  <c r="CQ294" i="1"/>
  <c r="CO294" i="1"/>
  <c r="CN294" i="1"/>
  <c r="CL294" i="1"/>
  <c r="CK294" i="1"/>
  <c r="CJ294" i="1"/>
  <c r="CI294" i="1"/>
  <c r="CG294" i="1"/>
  <c r="CF294" i="1"/>
  <c r="CF293" i="1" s="1"/>
  <c r="CB294" i="1"/>
  <c r="CA294" i="1"/>
  <c r="CA293" i="1" s="1"/>
  <c r="BZ294" i="1"/>
  <c r="BY294" i="1"/>
  <c r="BX294" i="1"/>
  <c r="BW294" i="1"/>
  <c r="BV294" i="1"/>
  <c r="BU294" i="1"/>
  <c r="BT294" i="1"/>
  <c r="BS294" i="1"/>
  <c r="BR294" i="1"/>
  <c r="BO294" i="1"/>
  <c r="BM294" i="1"/>
  <c r="BL294" i="1"/>
  <c r="BK294" i="1"/>
  <c r="BJ294" i="1"/>
  <c r="BI294" i="1"/>
  <c r="BG294" i="1"/>
  <c r="BF294" i="1"/>
  <c r="BE294" i="1"/>
  <c r="BB294" i="1"/>
  <c r="BA294" i="1"/>
  <c r="AZ294" i="1"/>
  <c r="AY294" i="1"/>
  <c r="AX294" i="1"/>
  <c r="AW294" i="1"/>
  <c r="AV294" i="1"/>
  <c r="AU294" i="1"/>
  <c r="AT294" i="1"/>
  <c r="AS294" i="1"/>
  <c r="AQ294" i="1"/>
  <c r="AP294" i="1"/>
  <c r="AO294" i="1"/>
  <c r="AN294" i="1"/>
  <c r="AM294" i="1"/>
  <c r="AL294" i="1"/>
  <c r="AK294" i="1"/>
  <c r="AJ294" i="1"/>
  <c r="AI294" i="1"/>
  <c r="AH294" i="1"/>
  <c r="AH293" i="1" s="1"/>
  <c r="AG294" i="1"/>
  <c r="AE294" i="1"/>
  <c r="AD294" i="1"/>
  <c r="AC294" i="1"/>
  <c r="AB294" i="1"/>
  <c r="AA294" i="1"/>
  <c r="Z294" i="1"/>
  <c r="Y294" i="1"/>
  <c r="X294" i="1"/>
  <c r="W294" i="1"/>
  <c r="U294" i="1"/>
  <c r="T294" i="1"/>
  <c r="S294" i="1"/>
  <c r="R294" i="1"/>
  <c r="P294" i="1"/>
  <c r="O294" i="1"/>
  <c r="N294" i="1"/>
  <c r="M294" i="1"/>
  <c r="L294" i="1"/>
  <c r="K294" i="1"/>
  <c r="J299" i="1" s="1"/>
  <c r="I294" i="1"/>
  <c r="H294" i="1"/>
  <c r="CV292" i="1"/>
  <c r="CM292" i="1"/>
  <c r="CM291" i="1" s="1"/>
  <c r="CH292" i="1"/>
  <c r="CE292" i="1"/>
  <c r="CE291" i="1" s="1"/>
  <c r="BQ292" i="1"/>
  <c r="BN292" i="1"/>
  <c r="BH292" i="1"/>
  <c r="BD292" i="1"/>
  <c r="AF292" i="1"/>
  <c r="V292" i="1"/>
  <c r="V291" i="1" s="1"/>
  <c r="Q292" i="1"/>
  <c r="J292" i="1"/>
  <c r="CX291" i="1"/>
  <c r="CW291" i="1"/>
  <c r="CT291" i="1"/>
  <c r="CS291" i="1"/>
  <c r="CR291" i="1"/>
  <c r="CQ291" i="1"/>
  <c r="CO291" i="1"/>
  <c r="CN291" i="1"/>
  <c r="CL291" i="1"/>
  <c r="CK291" i="1"/>
  <c r="CJ291" i="1"/>
  <c r="CI291" i="1"/>
  <c r="CG291" i="1"/>
  <c r="CF291" i="1"/>
  <c r="CB291" i="1"/>
  <c r="CA291" i="1"/>
  <c r="BZ291" i="1"/>
  <c r="BY291" i="1"/>
  <c r="BX291" i="1"/>
  <c r="BW291" i="1"/>
  <c r="BV291" i="1"/>
  <c r="BU291" i="1"/>
  <c r="BT291" i="1"/>
  <c r="BS291" i="1"/>
  <c r="BR291" i="1"/>
  <c r="BO291" i="1"/>
  <c r="BM291" i="1"/>
  <c r="BL291" i="1"/>
  <c r="BK291" i="1"/>
  <c r="BJ291" i="1"/>
  <c r="BI291" i="1"/>
  <c r="BG291" i="1"/>
  <c r="BF291" i="1"/>
  <c r="BE291" i="1"/>
  <c r="BB291" i="1"/>
  <c r="BA291" i="1"/>
  <c r="AZ291" i="1"/>
  <c r="AY291" i="1"/>
  <c r="AX291" i="1"/>
  <c r="AW291" i="1"/>
  <c r="AV291" i="1"/>
  <c r="AU291" i="1"/>
  <c r="AT291" i="1"/>
  <c r="AS291" i="1"/>
  <c r="AQ291" i="1"/>
  <c r="AP291" i="1"/>
  <c r="AO291" i="1"/>
  <c r="AN291" i="1"/>
  <c r="AM291" i="1"/>
  <c r="AL291" i="1"/>
  <c r="AK291" i="1"/>
  <c r="AJ291" i="1"/>
  <c r="AI291" i="1"/>
  <c r="AH291" i="1"/>
  <c r="AG291" i="1"/>
  <c r="AE291" i="1"/>
  <c r="AD291" i="1"/>
  <c r="AC291" i="1"/>
  <c r="AB291" i="1"/>
  <c r="AA291" i="1"/>
  <c r="Z291" i="1"/>
  <c r="Y291" i="1"/>
  <c r="X291" i="1"/>
  <c r="W291" i="1"/>
  <c r="U291" i="1"/>
  <c r="T291" i="1"/>
  <c r="S291" i="1"/>
  <c r="R291" i="1"/>
  <c r="P291" i="1"/>
  <c r="O291" i="1"/>
  <c r="N291" i="1"/>
  <c r="M291" i="1"/>
  <c r="L291" i="1"/>
  <c r="K291" i="1"/>
  <c r="I291" i="1"/>
  <c r="H291" i="1"/>
  <c r="CV290" i="1"/>
  <c r="CM290" i="1"/>
  <c r="CM289" i="1" s="1"/>
  <c r="CH290" i="1"/>
  <c r="CE290" i="1"/>
  <c r="CE289" i="1" s="1"/>
  <c r="BQ290" i="1"/>
  <c r="BN290" i="1"/>
  <c r="BH290" i="1"/>
  <c r="BD290" i="1"/>
  <c r="AF290" i="1"/>
  <c r="V290" i="1"/>
  <c r="Q290" i="1"/>
  <c r="J290" i="1"/>
  <c r="CX289" i="1"/>
  <c r="CW289" i="1"/>
  <c r="CT289" i="1"/>
  <c r="CS289" i="1"/>
  <c r="CR289" i="1"/>
  <c r="CQ289" i="1"/>
  <c r="CO289" i="1"/>
  <c r="CN289" i="1"/>
  <c r="CL289" i="1"/>
  <c r="CK289" i="1"/>
  <c r="CJ289" i="1"/>
  <c r="CI289" i="1"/>
  <c r="CG289" i="1"/>
  <c r="CF289" i="1"/>
  <c r="CB289" i="1"/>
  <c r="CA289" i="1"/>
  <c r="BZ289" i="1"/>
  <c r="BY289" i="1"/>
  <c r="BX289" i="1"/>
  <c r="BW289" i="1"/>
  <c r="BV289" i="1"/>
  <c r="BU289" i="1"/>
  <c r="BT289" i="1"/>
  <c r="BS289" i="1"/>
  <c r="BR289" i="1"/>
  <c r="BO289" i="1"/>
  <c r="BM289" i="1"/>
  <c r="BL289" i="1"/>
  <c r="BK289" i="1"/>
  <c r="BJ289" i="1"/>
  <c r="BI289" i="1"/>
  <c r="BG289" i="1"/>
  <c r="BF289" i="1"/>
  <c r="BE289" i="1"/>
  <c r="BB289" i="1"/>
  <c r="BA289" i="1"/>
  <c r="AZ289" i="1"/>
  <c r="AY289" i="1"/>
  <c r="AX289" i="1"/>
  <c r="AW289" i="1"/>
  <c r="AV289" i="1"/>
  <c r="AU289" i="1"/>
  <c r="AT289" i="1"/>
  <c r="AS289" i="1"/>
  <c r="AQ289" i="1"/>
  <c r="AP289" i="1"/>
  <c r="AO289" i="1"/>
  <c r="AN289" i="1"/>
  <c r="AM289" i="1"/>
  <c r="AL289" i="1"/>
  <c r="AK289" i="1"/>
  <c r="AJ289" i="1"/>
  <c r="AI289" i="1"/>
  <c r="AH289" i="1"/>
  <c r="AG289" i="1"/>
  <c r="AE289" i="1"/>
  <c r="AD289" i="1"/>
  <c r="AC289" i="1"/>
  <c r="AB289" i="1"/>
  <c r="AA289" i="1"/>
  <c r="Z289" i="1"/>
  <c r="Y289" i="1"/>
  <c r="X289" i="1"/>
  <c r="W289" i="1"/>
  <c r="U289" i="1"/>
  <c r="T289" i="1"/>
  <c r="S289" i="1"/>
  <c r="R289" i="1"/>
  <c r="P289" i="1"/>
  <c r="O289" i="1"/>
  <c r="N289" i="1"/>
  <c r="M289" i="1"/>
  <c r="L289" i="1"/>
  <c r="K289" i="1"/>
  <c r="I289" i="1"/>
  <c r="H289" i="1"/>
  <c r="CV288" i="1"/>
  <c r="CM288" i="1"/>
  <c r="CH288" i="1"/>
  <c r="CE288" i="1"/>
  <c r="BQ288" i="1"/>
  <c r="BN288" i="1"/>
  <c r="BH288" i="1"/>
  <c r="BD288" i="1"/>
  <c r="AF288" i="1"/>
  <c r="V288" i="1"/>
  <c r="Q288" i="1"/>
  <c r="J288" i="1"/>
  <c r="CV287" i="1"/>
  <c r="CM287" i="1"/>
  <c r="CH287" i="1"/>
  <c r="CE287" i="1"/>
  <c r="BQ287" i="1"/>
  <c r="BN287" i="1"/>
  <c r="BH287" i="1"/>
  <c r="BD287" i="1"/>
  <c r="AF287" i="1"/>
  <c r="V287" i="1"/>
  <c r="Q287" i="1"/>
  <c r="J287" i="1"/>
  <c r="CV286" i="1"/>
  <c r="CM286" i="1"/>
  <c r="CH286" i="1"/>
  <c r="CE286" i="1"/>
  <c r="BQ286" i="1"/>
  <c r="BN286" i="1"/>
  <c r="BH286" i="1"/>
  <c r="BD286" i="1"/>
  <c r="AF286" i="1"/>
  <c r="V286" i="1"/>
  <c r="Q286" i="1"/>
  <c r="J286" i="1"/>
  <c r="CV285" i="1"/>
  <c r="CM285" i="1"/>
  <c r="CH285" i="1"/>
  <c r="CE285" i="1"/>
  <c r="BQ285" i="1"/>
  <c r="BN285" i="1"/>
  <c r="BH285" i="1"/>
  <c r="BD285" i="1"/>
  <c r="AF285" i="1"/>
  <c r="V285" i="1"/>
  <c r="Q285" i="1"/>
  <c r="J285" i="1"/>
  <c r="CV284" i="1"/>
  <c r="CM284" i="1"/>
  <c r="CH284" i="1"/>
  <c r="CE284" i="1"/>
  <c r="BQ284" i="1"/>
  <c r="BN284" i="1"/>
  <c r="BH284" i="1"/>
  <c r="BD284" i="1"/>
  <c r="AF284" i="1"/>
  <c r="V284" i="1"/>
  <c r="Q284" i="1"/>
  <c r="J284" i="1"/>
  <c r="CV283" i="1"/>
  <c r="CM283" i="1"/>
  <c r="CH283" i="1"/>
  <c r="CE283" i="1"/>
  <c r="BQ283" i="1"/>
  <c r="BN283" i="1"/>
  <c r="BH283" i="1"/>
  <c r="BD283" i="1"/>
  <c r="AF283" i="1"/>
  <c r="V283" i="1"/>
  <c r="Q283" i="1"/>
  <c r="J283" i="1"/>
  <c r="CV282" i="1"/>
  <c r="CM282" i="1"/>
  <c r="CH282" i="1"/>
  <c r="CE282" i="1"/>
  <c r="BQ282" i="1"/>
  <c r="BN282" i="1"/>
  <c r="BH282" i="1"/>
  <c r="BD282" i="1"/>
  <c r="AF282" i="1"/>
  <c r="V282" i="1"/>
  <c r="Q282" i="1"/>
  <c r="J282" i="1"/>
  <c r="CV281" i="1"/>
  <c r="CM281" i="1"/>
  <c r="CH281" i="1"/>
  <c r="CE281" i="1"/>
  <c r="BQ281" i="1"/>
  <c r="BN281" i="1"/>
  <c r="BH281" i="1"/>
  <c r="BD281" i="1"/>
  <c r="AF281" i="1"/>
  <c r="V281" i="1"/>
  <c r="Q281" i="1"/>
  <c r="CV280" i="1"/>
  <c r="CM280" i="1"/>
  <c r="CH280" i="1"/>
  <c r="CE280" i="1"/>
  <c r="BQ280" i="1"/>
  <c r="BN280" i="1"/>
  <c r="BH280" i="1"/>
  <c r="BD280" i="1"/>
  <c r="AF280" i="1"/>
  <c r="V280" i="1"/>
  <c r="Q280" i="1"/>
  <c r="J280" i="1"/>
  <c r="CV279" i="1"/>
  <c r="CM279" i="1"/>
  <c r="CH279" i="1"/>
  <c r="CE279" i="1"/>
  <c r="BQ279" i="1"/>
  <c r="BN279" i="1"/>
  <c r="BH279" i="1"/>
  <c r="BD279" i="1"/>
  <c r="AF279" i="1"/>
  <c r="V279" i="1"/>
  <c r="Q279" i="1"/>
  <c r="J279" i="1"/>
  <c r="CV278" i="1"/>
  <c r="CM278" i="1"/>
  <c r="CH278" i="1"/>
  <c r="CE278" i="1"/>
  <c r="BQ278" i="1"/>
  <c r="BN278" i="1"/>
  <c r="BH278" i="1"/>
  <c r="BD278" i="1"/>
  <c r="AF278" i="1"/>
  <c r="V278" i="1"/>
  <c r="Q278" i="1"/>
  <c r="J278" i="1"/>
  <c r="CV277" i="1"/>
  <c r="CM277" i="1"/>
  <c r="CH277" i="1"/>
  <c r="CE277" i="1"/>
  <c r="BQ277" i="1"/>
  <c r="BN277" i="1"/>
  <c r="BH277" i="1"/>
  <c r="BD277" i="1"/>
  <c r="AF277" i="1"/>
  <c r="V277" i="1"/>
  <c r="Q277" i="1"/>
  <c r="J277" i="1"/>
  <c r="CX276" i="1"/>
  <c r="CW276" i="1"/>
  <c r="CT276" i="1"/>
  <c r="CS276" i="1"/>
  <c r="CR276" i="1"/>
  <c r="CQ276" i="1"/>
  <c r="CO276" i="1"/>
  <c r="CN276" i="1"/>
  <c r="CL276" i="1"/>
  <c r="CK276" i="1"/>
  <c r="CJ276" i="1"/>
  <c r="CI276" i="1"/>
  <c r="CG276" i="1"/>
  <c r="CF276" i="1"/>
  <c r="CB276" i="1"/>
  <c r="CA276" i="1"/>
  <c r="BZ276" i="1"/>
  <c r="BY276" i="1"/>
  <c r="BX276" i="1"/>
  <c r="BW276" i="1"/>
  <c r="BV276" i="1"/>
  <c r="BU276" i="1"/>
  <c r="BT276" i="1"/>
  <c r="BS276" i="1"/>
  <c r="BR276" i="1"/>
  <c r="BO276" i="1"/>
  <c r="BM276" i="1"/>
  <c r="BL276" i="1"/>
  <c r="BK276" i="1"/>
  <c r="BJ276" i="1"/>
  <c r="BI276" i="1"/>
  <c r="BG276" i="1"/>
  <c r="BF276" i="1"/>
  <c r="BE276" i="1"/>
  <c r="BB276" i="1"/>
  <c r="BA276" i="1"/>
  <c r="AZ276" i="1"/>
  <c r="AY276" i="1"/>
  <c r="AX276" i="1"/>
  <c r="AW276" i="1"/>
  <c r="AV276" i="1"/>
  <c r="AU276" i="1"/>
  <c r="AT276" i="1"/>
  <c r="AS276" i="1"/>
  <c r="AQ276" i="1"/>
  <c r="AP276" i="1"/>
  <c r="AO276" i="1"/>
  <c r="AN276" i="1"/>
  <c r="AM276" i="1"/>
  <c r="AL276" i="1"/>
  <c r="AK276" i="1"/>
  <c r="AJ276" i="1"/>
  <c r="AI276" i="1"/>
  <c r="AH276" i="1"/>
  <c r="AG276" i="1"/>
  <c r="AD276" i="1"/>
  <c r="AC276" i="1"/>
  <c r="AB276" i="1"/>
  <c r="AA276" i="1"/>
  <c r="Z276" i="1"/>
  <c r="Y276" i="1"/>
  <c r="X276" i="1"/>
  <c r="W276" i="1"/>
  <c r="U276" i="1"/>
  <c r="T276" i="1"/>
  <c r="S276" i="1"/>
  <c r="R276" i="1"/>
  <c r="P276" i="1"/>
  <c r="O276" i="1"/>
  <c r="N276" i="1"/>
  <c r="M276" i="1"/>
  <c r="L276" i="1"/>
  <c r="K276" i="1"/>
  <c r="J281" i="1" s="1"/>
  <c r="I276" i="1"/>
  <c r="H276" i="1"/>
  <c r="CV275" i="1"/>
  <c r="CM275" i="1"/>
  <c r="CH275" i="1"/>
  <c r="BQ275" i="1"/>
  <c r="BN275" i="1"/>
  <c r="BH275" i="1"/>
  <c r="BD275" i="1"/>
  <c r="Q275" i="1"/>
  <c r="CV272" i="1"/>
  <c r="CU272" i="1" s="1"/>
  <c r="CM272" i="1"/>
  <c r="CH272" i="1"/>
  <c r="CE272" i="1"/>
  <c r="BQ272" i="1"/>
  <c r="BN272" i="1"/>
  <c r="BH272" i="1"/>
  <c r="BD272" i="1"/>
  <c r="AF272" i="1"/>
  <c r="V272" i="1"/>
  <c r="Q272" i="1"/>
  <c r="J272" i="1"/>
  <c r="CV271" i="1"/>
  <c r="CM271" i="1"/>
  <c r="CH271" i="1"/>
  <c r="CE271" i="1"/>
  <c r="BQ271" i="1"/>
  <c r="BN271" i="1"/>
  <c r="BH271" i="1"/>
  <c r="BD271" i="1"/>
  <c r="AF271" i="1"/>
  <c r="V271" i="1"/>
  <c r="Q271" i="1"/>
  <c r="J271" i="1"/>
  <c r="CV270" i="1"/>
  <c r="CM270" i="1"/>
  <c r="CH270" i="1"/>
  <c r="CE270" i="1"/>
  <c r="BQ270" i="1"/>
  <c r="BN270" i="1"/>
  <c r="BH270" i="1"/>
  <c r="BD270" i="1"/>
  <c r="AF270" i="1"/>
  <c r="V270" i="1"/>
  <c r="Q270" i="1"/>
  <c r="J270" i="1"/>
  <c r="CV269" i="1"/>
  <c r="CM269" i="1"/>
  <c r="CH269" i="1"/>
  <c r="CE269" i="1"/>
  <c r="BQ269" i="1"/>
  <c r="BN269" i="1"/>
  <c r="BH269" i="1"/>
  <c r="BD269" i="1"/>
  <c r="AF269" i="1"/>
  <c r="V269" i="1"/>
  <c r="Q269" i="1"/>
  <c r="J269" i="1"/>
  <c r="CV268" i="1"/>
  <c r="CU268" i="1" s="1"/>
  <c r="CM268" i="1"/>
  <c r="CH268" i="1"/>
  <c r="CE268" i="1"/>
  <c r="BQ268" i="1"/>
  <c r="BN268" i="1"/>
  <c r="BH268" i="1"/>
  <c r="BD268" i="1"/>
  <c r="AF268" i="1"/>
  <c r="V268" i="1"/>
  <c r="Q268" i="1"/>
  <c r="J268" i="1"/>
  <c r="CV267" i="1"/>
  <c r="CM267" i="1"/>
  <c r="CH267" i="1"/>
  <c r="CE267" i="1"/>
  <c r="BQ267" i="1"/>
  <c r="BN267" i="1"/>
  <c r="BH267" i="1"/>
  <c r="BD267" i="1"/>
  <c r="AF267" i="1"/>
  <c r="V267" i="1"/>
  <c r="Q267" i="1"/>
  <c r="J267" i="1"/>
  <c r="CV266" i="1"/>
  <c r="CM266" i="1"/>
  <c r="CH266" i="1"/>
  <c r="CE266" i="1"/>
  <c r="BQ266" i="1"/>
  <c r="BN266" i="1"/>
  <c r="BH266" i="1"/>
  <c r="BD266" i="1"/>
  <c r="AF266" i="1"/>
  <c r="V266" i="1"/>
  <c r="Q266" i="1"/>
  <c r="J266" i="1"/>
  <c r="CV265" i="1"/>
  <c r="CM265" i="1"/>
  <c r="CH265" i="1"/>
  <c r="CE265" i="1"/>
  <c r="BQ265" i="1"/>
  <c r="BN265" i="1"/>
  <c r="BH265" i="1"/>
  <c r="BD265" i="1"/>
  <c r="AF265" i="1"/>
  <c r="V265" i="1"/>
  <c r="Q265" i="1"/>
  <c r="J265" i="1"/>
  <c r="CV264" i="1"/>
  <c r="CU264" i="1" s="1"/>
  <c r="CM264" i="1"/>
  <c r="CH264" i="1"/>
  <c r="CE264" i="1"/>
  <c r="BQ264" i="1"/>
  <c r="BN264" i="1"/>
  <c r="BH264" i="1"/>
  <c r="BD264" i="1"/>
  <c r="AF264" i="1"/>
  <c r="V264" i="1"/>
  <c r="Q264" i="1"/>
  <c r="J264" i="1"/>
  <c r="CV263" i="1"/>
  <c r="CM263" i="1"/>
  <c r="CH263" i="1"/>
  <c r="CE263" i="1"/>
  <c r="BQ263" i="1"/>
  <c r="BN263" i="1"/>
  <c r="BH263" i="1"/>
  <c r="BD263" i="1"/>
  <c r="AF263" i="1"/>
  <c r="V263" i="1"/>
  <c r="Q263" i="1"/>
  <c r="J263" i="1"/>
  <c r="CV262" i="1"/>
  <c r="CM262" i="1"/>
  <c r="CH262" i="1"/>
  <c r="CE262" i="1"/>
  <c r="BQ262" i="1"/>
  <c r="BN262" i="1"/>
  <c r="BH262" i="1"/>
  <c r="BD262" i="1"/>
  <c r="AF262" i="1"/>
  <c r="V262" i="1"/>
  <c r="Q262" i="1"/>
  <c r="J262" i="1"/>
  <c r="CV261" i="1"/>
  <c r="CM261" i="1"/>
  <c r="CH261" i="1"/>
  <c r="CE261" i="1"/>
  <c r="BQ261" i="1"/>
  <c r="BN261" i="1"/>
  <c r="BH261" i="1"/>
  <c r="BD261" i="1"/>
  <c r="AF261" i="1"/>
  <c r="V261" i="1"/>
  <c r="Q261" i="1"/>
  <c r="J261" i="1"/>
  <c r="CV260" i="1"/>
  <c r="CM260" i="1"/>
  <c r="CH260" i="1"/>
  <c r="CE260" i="1"/>
  <c r="BQ260" i="1"/>
  <c r="BN260" i="1"/>
  <c r="BH260" i="1"/>
  <c r="BD260" i="1"/>
  <c r="AF260" i="1"/>
  <c r="V260" i="1"/>
  <c r="Q260" i="1"/>
  <c r="J260" i="1"/>
  <c r="CV259" i="1"/>
  <c r="CM259" i="1"/>
  <c r="CH259" i="1"/>
  <c r="CE259" i="1"/>
  <c r="BQ259" i="1"/>
  <c r="BN259" i="1"/>
  <c r="BH259" i="1"/>
  <c r="BD259" i="1"/>
  <c r="AF259" i="1"/>
  <c r="V259" i="1"/>
  <c r="Q259" i="1"/>
  <c r="J259" i="1"/>
  <c r="CV258" i="1"/>
  <c r="CU258" i="1" s="1"/>
  <c r="CM258" i="1"/>
  <c r="CH258" i="1"/>
  <c r="CE258" i="1"/>
  <c r="BQ258" i="1"/>
  <c r="BN258" i="1"/>
  <c r="BH258" i="1"/>
  <c r="BD258" i="1"/>
  <c r="AF258" i="1"/>
  <c r="V258" i="1"/>
  <c r="Q258" i="1"/>
  <c r="J258" i="1"/>
  <c r="CV257" i="1"/>
  <c r="CM257" i="1"/>
  <c r="CH257" i="1"/>
  <c r="CE257" i="1"/>
  <c r="BQ257" i="1"/>
  <c r="BN257" i="1"/>
  <c r="BH257" i="1"/>
  <c r="BD257" i="1"/>
  <c r="AF257" i="1"/>
  <c r="V257" i="1"/>
  <c r="Q257" i="1"/>
  <c r="J257" i="1"/>
  <c r="CV256" i="1"/>
  <c r="CM256" i="1"/>
  <c r="CH256" i="1"/>
  <c r="CE256" i="1"/>
  <c r="BQ256" i="1"/>
  <c r="BN256" i="1"/>
  <c r="BH256" i="1"/>
  <c r="BD256" i="1"/>
  <c r="AF256" i="1"/>
  <c r="V256" i="1"/>
  <c r="Q256" i="1"/>
  <c r="J256" i="1"/>
  <c r="CV255" i="1"/>
  <c r="CM255" i="1"/>
  <c r="CH255" i="1"/>
  <c r="CE255" i="1"/>
  <c r="BQ255" i="1"/>
  <c r="BN255" i="1"/>
  <c r="BH255" i="1"/>
  <c r="BD255" i="1"/>
  <c r="AF255" i="1"/>
  <c r="V255" i="1"/>
  <c r="Q255" i="1"/>
  <c r="J255" i="1"/>
  <c r="CV254" i="1"/>
  <c r="CM254" i="1"/>
  <c r="CH254" i="1"/>
  <c r="CE254" i="1"/>
  <c r="BQ254" i="1"/>
  <c r="BN254" i="1"/>
  <c r="BH254" i="1"/>
  <c r="BD254" i="1"/>
  <c r="AF254" i="1"/>
  <c r="V254" i="1"/>
  <c r="Q254" i="1"/>
  <c r="CV253" i="1"/>
  <c r="CM253" i="1"/>
  <c r="CH253" i="1"/>
  <c r="CE253" i="1"/>
  <c r="BQ253" i="1"/>
  <c r="BN253" i="1"/>
  <c r="BH253" i="1"/>
  <c r="BD253" i="1"/>
  <c r="AF253" i="1"/>
  <c r="V253" i="1"/>
  <c r="Q253" i="1"/>
  <c r="J253" i="1"/>
  <c r="CV252" i="1"/>
  <c r="CM252" i="1"/>
  <c r="CH252" i="1"/>
  <c r="CE252" i="1"/>
  <c r="BQ252" i="1"/>
  <c r="BN252" i="1"/>
  <c r="BH252" i="1"/>
  <c r="BD252" i="1"/>
  <c r="AF252" i="1"/>
  <c r="V252" i="1"/>
  <c r="Q252" i="1"/>
  <c r="J252" i="1"/>
  <c r="CV251" i="1"/>
  <c r="CM251" i="1"/>
  <c r="CH251" i="1"/>
  <c r="CE251" i="1"/>
  <c r="BQ251" i="1"/>
  <c r="BN251" i="1"/>
  <c r="BH251" i="1"/>
  <c r="BD251" i="1"/>
  <c r="AF251" i="1"/>
  <c r="V251" i="1"/>
  <c r="Q251" i="1"/>
  <c r="J251" i="1"/>
  <c r="CV250" i="1"/>
  <c r="CM250" i="1"/>
  <c r="CH250" i="1"/>
  <c r="CE250" i="1"/>
  <c r="BQ250" i="1"/>
  <c r="BN250" i="1"/>
  <c r="BH250" i="1"/>
  <c r="BD250" i="1"/>
  <c r="AF250" i="1"/>
  <c r="V250" i="1"/>
  <c r="Q250" i="1"/>
  <c r="J250" i="1"/>
  <c r="CW249" i="1"/>
  <c r="CT249" i="1"/>
  <c r="CS249" i="1"/>
  <c r="CS235" i="1" s="1"/>
  <c r="CR249" i="1"/>
  <c r="CQ249" i="1"/>
  <c r="CO249" i="1"/>
  <c r="CL249" i="1"/>
  <c r="CK249" i="1"/>
  <c r="CJ249" i="1"/>
  <c r="CI249" i="1"/>
  <c r="CF249" i="1"/>
  <c r="CB249" i="1"/>
  <c r="CA249" i="1"/>
  <c r="BZ249" i="1"/>
  <c r="BY249" i="1"/>
  <c r="BX249" i="1"/>
  <c r="BW249" i="1"/>
  <c r="BV249" i="1"/>
  <c r="BU249" i="1"/>
  <c r="BT249" i="1"/>
  <c r="BS249" i="1"/>
  <c r="BR249" i="1"/>
  <c r="BO249" i="1"/>
  <c r="BM249" i="1"/>
  <c r="BL249" i="1"/>
  <c r="BK249" i="1"/>
  <c r="BJ249" i="1"/>
  <c r="BI249" i="1"/>
  <c r="BG249" i="1"/>
  <c r="BF249" i="1"/>
  <c r="BE249" i="1"/>
  <c r="BA249" i="1"/>
  <c r="AZ249" i="1"/>
  <c r="AY249" i="1"/>
  <c r="AX249" i="1"/>
  <c r="AW249" i="1"/>
  <c r="AV249" i="1"/>
  <c r="AU249" i="1"/>
  <c r="AT249" i="1"/>
  <c r="AS249" i="1"/>
  <c r="AQ249" i="1"/>
  <c r="AP249" i="1"/>
  <c r="AO249" i="1"/>
  <c r="AN249" i="1"/>
  <c r="AM249" i="1"/>
  <c r="AK249" i="1"/>
  <c r="AH249" i="1"/>
  <c r="AG249" i="1"/>
  <c r="AE249" i="1"/>
  <c r="AC249" i="1"/>
  <c r="T249" i="1"/>
  <c r="R249" i="1"/>
  <c r="N249" i="1"/>
  <c r="M249" i="1"/>
  <c r="L249" i="1"/>
  <c r="I249" i="1"/>
  <c r="H249" i="1"/>
  <c r="CV248" i="1"/>
  <c r="CR248" i="1"/>
  <c r="CM248" i="1"/>
  <c r="CH248" i="1"/>
  <c r="CE248" i="1"/>
  <c r="BQ248" i="1"/>
  <c r="BN248" i="1"/>
  <c r="BH248" i="1"/>
  <c r="BD248" i="1"/>
  <c r="AF248" i="1"/>
  <c r="V248" i="1"/>
  <c r="Q248" i="1"/>
  <c r="J248" i="1"/>
  <c r="CV247" i="1"/>
  <c r="CM247" i="1"/>
  <c r="CH247" i="1"/>
  <c r="CE247" i="1"/>
  <c r="BQ247" i="1"/>
  <c r="BN247" i="1"/>
  <c r="BH247" i="1"/>
  <c r="BD247" i="1"/>
  <c r="AF247" i="1"/>
  <c r="V247" i="1"/>
  <c r="Q247" i="1"/>
  <c r="J247" i="1"/>
  <c r="CV246" i="1"/>
  <c r="CM246" i="1"/>
  <c r="CH246" i="1"/>
  <c r="CE246" i="1"/>
  <c r="BQ246" i="1"/>
  <c r="BN246" i="1"/>
  <c r="BL246" i="1"/>
  <c r="BH246" i="1"/>
  <c r="BD246" i="1"/>
  <c r="AF246" i="1"/>
  <c r="V246" i="1"/>
  <c r="Q246" i="1"/>
  <c r="P246" i="1"/>
  <c r="CV245" i="1"/>
  <c r="CM245" i="1"/>
  <c r="CH245" i="1"/>
  <c r="CE245" i="1"/>
  <c r="BQ245" i="1"/>
  <c r="BN245" i="1"/>
  <c r="BH245" i="1"/>
  <c r="BD245" i="1"/>
  <c r="AF245" i="1"/>
  <c r="V245" i="1"/>
  <c r="Q245" i="1"/>
  <c r="J245" i="1"/>
  <c r="CV243" i="1"/>
  <c r="CM243" i="1"/>
  <c r="CH243" i="1"/>
  <c r="CE243" i="1"/>
  <c r="BQ243" i="1"/>
  <c r="BN243" i="1"/>
  <c r="BH243" i="1"/>
  <c r="BD243" i="1"/>
  <c r="AF243" i="1"/>
  <c r="V243" i="1"/>
  <c r="Q243" i="1"/>
  <c r="J243" i="1"/>
  <c r="CV244" i="1"/>
  <c r="CM244" i="1"/>
  <c r="CH244" i="1"/>
  <c r="CE244" i="1"/>
  <c r="BQ244" i="1"/>
  <c r="BN244" i="1"/>
  <c r="BH244" i="1"/>
  <c r="BD244" i="1"/>
  <c r="AF244" i="1"/>
  <c r="V244" i="1"/>
  <c r="Q244" i="1"/>
  <c r="J244" i="1"/>
  <c r="CV241" i="1"/>
  <c r="CR241" i="1"/>
  <c r="CM241" i="1"/>
  <c r="CH241" i="1"/>
  <c r="CE241" i="1"/>
  <c r="BQ241" i="1"/>
  <c r="BN241" i="1"/>
  <c r="BH241" i="1"/>
  <c r="BD241" i="1"/>
  <c r="AF241" i="1"/>
  <c r="V241" i="1"/>
  <c r="Q241" i="1"/>
  <c r="J241" i="1"/>
  <c r="CV240" i="1"/>
  <c r="CM240" i="1"/>
  <c r="CH240" i="1"/>
  <c r="CE240" i="1"/>
  <c r="BQ240" i="1"/>
  <c r="BN240" i="1"/>
  <c r="BH240" i="1"/>
  <c r="BD240" i="1"/>
  <c r="AF240" i="1"/>
  <c r="V240" i="1"/>
  <c r="Q240" i="1"/>
  <c r="CV238" i="1"/>
  <c r="CM238" i="1"/>
  <c r="CH238" i="1"/>
  <c r="CE238" i="1"/>
  <c r="BQ238" i="1"/>
  <c r="BN238" i="1"/>
  <c r="BH238" i="1"/>
  <c r="BD238" i="1"/>
  <c r="AF238" i="1"/>
  <c r="V238" i="1"/>
  <c r="Q238" i="1"/>
  <c r="J238" i="1"/>
  <c r="CV237" i="1"/>
  <c r="CM237" i="1"/>
  <c r="CH237" i="1"/>
  <c r="CG237" i="1"/>
  <c r="CE237" i="1" s="1"/>
  <c r="BQ237" i="1"/>
  <c r="BN237" i="1"/>
  <c r="BH237" i="1"/>
  <c r="BD237" i="1"/>
  <c r="AF237" i="1"/>
  <c r="V237" i="1"/>
  <c r="Q237" i="1"/>
  <c r="CV236" i="1"/>
  <c r="CU236" i="1" s="1"/>
  <c r="CM236" i="1"/>
  <c r="CH236" i="1"/>
  <c r="CE236" i="1"/>
  <c r="BQ236" i="1"/>
  <c r="BN236" i="1"/>
  <c r="BH236" i="1"/>
  <c r="BD236" i="1"/>
  <c r="AF236" i="1"/>
  <c r="V236" i="1"/>
  <c r="Q236" i="1"/>
  <c r="J236" i="1"/>
  <c r="CV234" i="1"/>
  <c r="CM234" i="1"/>
  <c r="CH234" i="1"/>
  <c r="CE234" i="1"/>
  <c r="BQ234" i="1"/>
  <c r="BN234" i="1"/>
  <c r="BH234" i="1"/>
  <c r="BD234" i="1"/>
  <c r="AY234" i="1"/>
  <c r="AF234" i="1" s="1"/>
  <c r="V234" i="1"/>
  <c r="Q234" i="1"/>
  <c r="I232" i="1"/>
  <c r="CV233" i="1"/>
  <c r="CM233" i="1"/>
  <c r="CH233" i="1"/>
  <c r="CE233" i="1"/>
  <c r="BQ233" i="1"/>
  <c r="BN233" i="1"/>
  <c r="BH233" i="1"/>
  <c r="BD233" i="1"/>
  <c r="AF233" i="1"/>
  <c r="V233" i="1"/>
  <c r="Q233" i="1"/>
  <c r="J233" i="1"/>
  <c r="CX232" i="1"/>
  <c r="CW232" i="1"/>
  <c r="CT232" i="1"/>
  <c r="CS232" i="1"/>
  <c r="CR232" i="1"/>
  <c r="CQ232" i="1"/>
  <c r="CO232" i="1"/>
  <c r="CN232" i="1"/>
  <c r="CL232" i="1"/>
  <c r="CK232" i="1"/>
  <c r="CJ232" i="1"/>
  <c r="CI232" i="1"/>
  <c r="CG232" i="1"/>
  <c r="CF232" i="1"/>
  <c r="CB232" i="1"/>
  <c r="CA232" i="1"/>
  <c r="BZ232" i="1"/>
  <c r="BY232" i="1"/>
  <c r="BX232" i="1"/>
  <c r="BW232" i="1"/>
  <c r="BV232" i="1"/>
  <c r="BU232" i="1"/>
  <c r="BT232" i="1"/>
  <c r="BS232" i="1"/>
  <c r="BR232" i="1"/>
  <c r="BO232" i="1"/>
  <c r="BM232" i="1"/>
  <c r="BL232" i="1"/>
  <c r="BK232" i="1"/>
  <c r="BJ232" i="1"/>
  <c r="BI232" i="1"/>
  <c r="BG232" i="1"/>
  <c r="BF232" i="1"/>
  <c r="BE232" i="1"/>
  <c r="BB232" i="1"/>
  <c r="BA232" i="1"/>
  <c r="AZ232" i="1"/>
  <c r="AX232" i="1"/>
  <c r="AU232" i="1"/>
  <c r="AT232" i="1"/>
  <c r="AS232" i="1"/>
  <c r="AQ232" i="1"/>
  <c r="AP232" i="1"/>
  <c r="AO232" i="1"/>
  <c r="AN232" i="1"/>
  <c r="AM232" i="1"/>
  <c r="AL232" i="1"/>
  <c r="AK232" i="1"/>
  <c r="AJ232" i="1"/>
  <c r="AI232" i="1"/>
  <c r="AH232" i="1"/>
  <c r="AG232" i="1"/>
  <c r="AE232" i="1"/>
  <c r="AD232" i="1"/>
  <c r="AC232" i="1"/>
  <c r="AB232" i="1"/>
  <c r="AA232" i="1"/>
  <c r="Z232" i="1"/>
  <c r="Y232" i="1"/>
  <c r="X232" i="1"/>
  <c r="W232" i="1"/>
  <c r="U232" i="1"/>
  <c r="T232" i="1"/>
  <c r="S232" i="1"/>
  <c r="R232" i="1"/>
  <c r="P232" i="1"/>
  <c r="O232" i="1"/>
  <c r="N232" i="1"/>
  <c r="M232" i="1"/>
  <c r="L232" i="1"/>
  <c r="K232" i="1"/>
  <c r="J237" i="1" s="1"/>
  <c r="CV231" i="1"/>
  <c r="CV230" i="1" s="1"/>
  <c r="CM231" i="1"/>
  <c r="CH231" i="1"/>
  <c r="CE231" i="1"/>
  <c r="BQ231" i="1"/>
  <c r="BN231" i="1"/>
  <c r="BH231" i="1"/>
  <c r="BD231" i="1"/>
  <c r="AF231" i="1"/>
  <c r="V231" i="1"/>
  <c r="Q231" i="1"/>
  <c r="Q230" i="1" s="1"/>
  <c r="CX230" i="1"/>
  <c r="CW230" i="1"/>
  <c r="CT230" i="1"/>
  <c r="CS230" i="1"/>
  <c r="CR230" i="1"/>
  <c r="CQ230" i="1"/>
  <c r="CO230" i="1"/>
  <c r="CN230" i="1"/>
  <c r="CL230" i="1"/>
  <c r="CK230" i="1"/>
  <c r="CJ230" i="1"/>
  <c r="CI230" i="1"/>
  <c r="CG230" i="1"/>
  <c r="CF230" i="1"/>
  <c r="CB230" i="1"/>
  <c r="CA230" i="1"/>
  <c r="BZ230" i="1"/>
  <c r="BY230" i="1"/>
  <c r="BX230" i="1"/>
  <c r="BW230" i="1"/>
  <c r="BV230" i="1"/>
  <c r="BU230" i="1"/>
  <c r="BT230" i="1"/>
  <c r="BS230" i="1"/>
  <c r="BR230" i="1"/>
  <c r="BO230" i="1"/>
  <c r="BM230" i="1"/>
  <c r="BL230" i="1"/>
  <c r="BK230" i="1"/>
  <c r="BJ230" i="1"/>
  <c r="BI230" i="1"/>
  <c r="BG230" i="1"/>
  <c r="BF230" i="1"/>
  <c r="BE230" i="1"/>
  <c r="BB230" i="1"/>
  <c r="BA230" i="1"/>
  <c r="AZ230" i="1"/>
  <c r="AY230" i="1"/>
  <c r="AX230" i="1"/>
  <c r="AU230" i="1"/>
  <c r="AT230" i="1"/>
  <c r="AS230" i="1"/>
  <c r="AQ230" i="1"/>
  <c r="AP230" i="1"/>
  <c r="AO230" i="1"/>
  <c r="AN230" i="1"/>
  <c r="AM230" i="1"/>
  <c r="AL230" i="1"/>
  <c r="AK230" i="1"/>
  <c r="AJ230" i="1"/>
  <c r="AI230" i="1"/>
  <c r="AH230" i="1"/>
  <c r="AG230" i="1"/>
  <c r="AE230" i="1"/>
  <c r="AD230" i="1"/>
  <c r="AC230" i="1"/>
  <c r="AB230" i="1"/>
  <c r="AA230" i="1"/>
  <c r="Z230" i="1"/>
  <c r="Y230" i="1"/>
  <c r="X230" i="1"/>
  <c r="W230" i="1"/>
  <c r="U230" i="1"/>
  <c r="T230" i="1"/>
  <c r="S230" i="1"/>
  <c r="R230" i="1"/>
  <c r="P230" i="1"/>
  <c r="O230" i="1"/>
  <c r="N230" i="1"/>
  <c r="M230" i="1"/>
  <c r="L230" i="1"/>
  <c r="K230" i="1"/>
  <c r="I230" i="1"/>
  <c r="H230" i="1"/>
  <c r="CV228" i="1"/>
  <c r="CM228" i="1"/>
  <c r="CH228" i="1"/>
  <c r="CE228" i="1"/>
  <c r="BQ228" i="1"/>
  <c r="BN228" i="1"/>
  <c r="BH228" i="1"/>
  <c r="BD228" i="1"/>
  <c r="AF228" i="1"/>
  <c r="V228" i="1"/>
  <c r="Q228" i="1"/>
  <c r="CV227" i="1"/>
  <c r="CM227" i="1"/>
  <c r="CH227" i="1"/>
  <c r="CE227" i="1"/>
  <c r="BQ227" i="1"/>
  <c r="BN227" i="1"/>
  <c r="BH227" i="1"/>
  <c r="BD227" i="1"/>
  <c r="AF227" i="1"/>
  <c r="V227" i="1"/>
  <c r="Q227" i="1"/>
  <c r="CX226" i="1"/>
  <c r="CW226" i="1"/>
  <c r="CT226" i="1"/>
  <c r="CS226" i="1"/>
  <c r="CR226" i="1"/>
  <c r="CQ226" i="1"/>
  <c r="CO226" i="1"/>
  <c r="CN226" i="1"/>
  <c r="CL226" i="1"/>
  <c r="CL225" i="1" s="1"/>
  <c r="CK226" i="1"/>
  <c r="CJ226" i="1"/>
  <c r="CI226" i="1"/>
  <c r="CG226" i="1"/>
  <c r="CF226" i="1"/>
  <c r="CB226" i="1"/>
  <c r="CA226" i="1"/>
  <c r="BZ226" i="1"/>
  <c r="BZ225" i="1" s="1"/>
  <c r="BY226" i="1"/>
  <c r="BX226" i="1"/>
  <c r="BW226" i="1"/>
  <c r="BV226" i="1"/>
  <c r="BU226" i="1"/>
  <c r="BT226" i="1"/>
  <c r="BS226" i="1"/>
  <c r="BR226" i="1"/>
  <c r="BO226" i="1"/>
  <c r="BM226" i="1"/>
  <c r="BL226" i="1"/>
  <c r="BK226" i="1"/>
  <c r="BJ226" i="1"/>
  <c r="BI226" i="1"/>
  <c r="BG226" i="1"/>
  <c r="BF226" i="1"/>
  <c r="BE226" i="1"/>
  <c r="BB226" i="1"/>
  <c r="BA226" i="1"/>
  <c r="AZ226" i="1"/>
  <c r="AY226" i="1"/>
  <c r="AX226" i="1"/>
  <c r="AU226" i="1"/>
  <c r="AT226" i="1"/>
  <c r="AS226" i="1"/>
  <c r="AQ226" i="1"/>
  <c r="AP226" i="1"/>
  <c r="AO226" i="1"/>
  <c r="AN226" i="1"/>
  <c r="AM226" i="1"/>
  <c r="AL226" i="1"/>
  <c r="AK226" i="1"/>
  <c r="AJ226" i="1"/>
  <c r="AI226" i="1"/>
  <c r="AH226" i="1"/>
  <c r="AG226" i="1"/>
  <c r="AE226" i="1"/>
  <c r="AD226" i="1"/>
  <c r="AC226" i="1"/>
  <c r="AB226" i="1"/>
  <c r="AA226" i="1"/>
  <c r="Z226" i="1"/>
  <c r="Y226" i="1"/>
  <c r="X226" i="1"/>
  <c r="W226" i="1"/>
  <c r="U226" i="1"/>
  <c r="T226" i="1"/>
  <c r="S226" i="1"/>
  <c r="R226" i="1"/>
  <c r="P226" i="1"/>
  <c r="O226" i="1"/>
  <c r="N226" i="1"/>
  <c r="M226" i="1"/>
  <c r="L226" i="1"/>
  <c r="K226" i="1"/>
  <c r="J231" i="1" s="1"/>
  <c r="I226" i="1"/>
  <c r="H226" i="1"/>
  <c r="CV224" i="1"/>
  <c r="CR224" i="1"/>
  <c r="CM224" i="1"/>
  <c r="CM223" i="1" s="1"/>
  <c r="CH224" i="1"/>
  <c r="CE224" i="1"/>
  <c r="BQ224" i="1"/>
  <c r="BN224" i="1"/>
  <c r="BH224" i="1"/>
  <c r="BD224" i="1"/>
  <c r="AF224" i="1"/>
  <c r="V224" i="1"/>
  <c r="Q224" i="1"/>
  <c r="CX223" i="1"/>
  <c r="CW223" i="1"/>
  <c r="CT223" i="1"/>
  <c r="CS223" i="1"/>
  <c r="CQ223" i="1"/>
  <c r="CO223" i="1"/>
  <c r="CN223" i="1"/>
  <c r="CL223" i="1"/>
  <c r="CK223" i="1"/>
  <c r="CJ223" i="1"/>
  <c r="CI223" i="1"/>
  <c r="CG223" i="1"/>
  <c r="CF223" i="1"/>
  <c r="CB223" i="1"/>
  <c r="CA223" i="1"/>
  <c r="BZ223" i="1"/>
  <c r="BY223" i="1"/>
  <c r="BX223" i="1"/>
  <c r="BW223" i="1"/>
  <c r="BV223" i="1"/>
  <c r="BU223" i="1"/>
  <c r="BT223" i="1"/>
  <c r="BS223" i="1"/>
  <c r="BR223" i="1"/>
  <c r="BR222" i="1" s="1"/>
  <c r="BO223" i="1"/>
  <c r="BM223" i="1"/>
  <c r="BL223" i="1"/>
  <c r="BK223" i="1"/>
  <c r="BJ223" i="1"/>
  <c r="BI223" i="1"/>
  <c r="BG223" i="1"/>
  <c r="BF223" i="1"/>
  <c r="BE223" i="1"/>
  <c r="BB223" i="1"/>
  <c r="BA223" i="1"/>
  <c r="AZ223" i="1"/>
  <c r="AY223" i="1"/>
  <c r="AX223" i="1"/>
  <c r="AU223" i="1"/>
  <c r="AT223" i="1"/>
  <c r="AS223" i="1"/>
  <c r="AQ223" i="1"/>
  <c r="AP223" i="1"/>
  <c r="AO223" i="1"/>
  <c r="AN223" i="1"/>
  <c r="AM223" i="1"/>
  <c r="AL223" i="1"/>
  <c r="AK223" i="1"/>
  <c r="AJ223" i="1"/>
  <c r="AI223" i="1"/>
  <c r="AH223" i="1"/>
  <c r="AG223" i="1"/>
  <c r="AE223" i="1"/>
  <c r="AD223" i="1"/>
  <c r="AC223" i="1"/>
  <c r="AB223" i="1"/>
  <c r="AA223" i="1"/>
  <c r="Z223" i="1"/>
  <c r="Y223" i="1"/>
  <c r="X223" i="1"/>
  <c r="W223" i="1"/>
  <c r="U223" i="1"/>
  <c r="T223" i="1"/>
  <c r="S223" i="1"/>
  <c r="R223" i="1"/>
  <c r="P223" i="1"/>
  <c r="O223" i="1"/>
  <c r="N223" i="1"/>
  <c r="M223" i="1"/>
  <c r="L223" i="1"/>
  <c r="K223" i="1"/>
  <c r="J228" i="1" s="1"/>
  <c r="I223" i="1"/>
  <c r="H223" i="1"/>
  <c r="CV221" i="1"/>
  <c r="CM221" i="1"/>
  <c r="CH221" i="1"/>
  <c r="CE221" i="1"/>
  <c r="BQ221" i="1"/>
  <c r="BQ220" i="1" s="1"/>
  <c r="BN221" i="1"/>
  <c r="BH221" i="1"/>
  <c r="BD221" i="1"/>
  <c r="AF221" i="1"/>
  <c r="V221" i="1"/>
  <c r="Q221" i="1"/>
  <c r="J221" i="1"/>
  <c r="CX220" i="1"/>
  <c r="CW220" i="1"/>
  <c r="CT220" i="1"/>
  <c r="CS220" i="1"/>
  <c r="CR220" i="1"/>
  <c r="CQ220" i="1"/>
  <c r="CO220" i="1"/>
  <c r="CN220" i="1"/>
  <c r="CL220" i="1"/>
  <c r="CK220" i="1"/>
  <c r="CJ220" i="1"/>
  <c r="CI220" i="1"/>
  <c r="CG220" i="1"/>
  <c r="CF220" i="1"/>
  <c r="CB220" i="1"/>
  <c r="CA220" i="1"/>
  <c r="BZ220" i="1"/>
  <c r="BY220" i="1"/>
  <c r="BX220" i="1"/>
  <c r="BW220" i="1"/>
  <c r="BV220" i="1"/>
  <c r="BU220" i="1"/>
  <c r="BT220" i="1"/>
  <c r="BS220" i="1"/>
  <c r="BR220" i="1"/>
  <c r="BO220" i="1"/>
  <c r="BM220" i="1"/>
  <c r="BL220" i="1"/>
  <c r="BK220" i="1"/>
  <c r="BJ220" i="1"/>
  <c r="BI220" i="1"/>
  <c r="BG220" i="1"/>
  <c r="BF220" i="1"/>
  <c r="BE220" i="1"/>
  <c r="BB220" i="1"/>
  <c r="BA220" i="1"/>
  <c r="AZ220" i="1"/>
  <c r="AY220" i="1"/>
  <c r="AX220" i="1"/>
  <c r="AU220" i="1"/>
  <c r="AT220" i="1"/>
  <c r="AS220" i="1"/>
  <c r="AQ220" i="1"/>
  <c r="AP220" i="1"/>
  <c r="AO220" i="1"/>
  <c r="AN220" i="1"/>
  <c r="AM220" i="1"/>
  <c r="AL220" i="1"/>
  <c r="AK220" i="1"/>
  <c r="AJ220" i="1"/>
  <c r="AI220" i="1"/>
  <c r="AH220" i="1"/>
  <c r="AG220" i="1"/>
  <c r="AE220" i="1"/>
  <c r="AD220" i="1"/>
  <c r="AC220" i="1"/>
  <c r="AB220" i="1"/>
  <c r="AA220" i="1"/>
  <c r="Z220" i="1"/>
  <c r="Y220" i="1"/>
  <c r="X220" i="1"/>
  <c r="W220" i="1"/>
  <c r="U220" i="1"/>
  <c r="T220" i="1"/>
  <c r="S220" i="1"/>
  <c r="R220" i="1"/>
  <c r="P220" i="1"/>
  <c r="O220" i="1"/>
  <c r="N220" i="1"/>
  <c r="M220" i="1"/>
  <c r="L220" i="1"/>
  <c r="K220" i="1"/>
  <c r="I220" i="1"/>
  <c r="H220" i="1"/>
  <c r="CV218" i="1"/>
  <c r="CM218" i="1"/>
  <c r="CH218" i="1"/>
  <c r="CE218" i="1"/>
  <c r="BQ218" i="1"/>
  <c r="BN218" i="1"/>
  <c r="BH218" i="1"/>
  <c r="BD218" i="1"/>
  <c r="AF218" i="1"/>
  <c r="Q218" i="1"/>
  <c r="J218" i="1"/>
  <c r="CV216" i="1"/>
  <c r="CM216" i="1"/>
  <c r="CH216" i="1"/>
  <c r="CE216" i="1"/>
  <c r="BQ216" i="1"/>
  <c r="BN216" i="1"/>
  <c r="BH216" i="1"/>
  <c r="BD216" i="1"/>
  <c r="AF216" i="1"/>
  <c r="V216" i="1"/>
  <c r="Q216" i="1"/>
  <c r="J216" i="1"/>
  <c r="CV215" i="1"/>
  <c r="CM215" i="1"/>
  <c r="CH215" i="1"/>
  <c r="CE215" i="1"/>
  <c r="BQ215" i="1"/>
  <c r="BN215" i="1"/>
  <c r="BH215" i="1"/>
  <c r="BD215" i="1"/>
  <c r="AF215" i="1"/>
  <c r="V215" i="1"/>
  <c r="Q215" i="1"/>
  <c r="J215" i="1"/>
  <c r="CV214" i="1"/>
  <c r="CM214" i="1"/>
  <c r="CH214" i="1"/>
  <c r="CE214" i="1"/>
  <c r="BQ214" i="1"/>
  <c r="BN214" i="1"/>
  <c r="BH214" i="1"/>
  <c r="BD214" i="1"/>
  <c r="AF214" i="1"/>
  <c r="V214" i="1"/>
  <c r="Q214" i="1"/>
  <c r="J214" i="1"/>
  <c r="CV213" i="1"/>
  <c r="CM213" i="1"/>
  <c r="CH213" i="1"/>
  <c r="CE213" i="1"/>
  <c r="BQ213" i="1"/>
  <c r="BN213" i="1"/>
  <c r="BH213" i="1"/>
  <c r="BD213" i="1"/>
  <c r="AF213" i="1"/>
  <c r="V213" i="1"/>
  <c r="Q213" i="1"/>
  <c r="J213" i="1"/>
  <c r="CV212" i="1"/>
  <c r="CM212" i="1"/>
  <c r="CH212" i="1"/>
  <c r="CE212" i="1"/>
  <c r="BQ212" i="1"/>
  <c r="BN212" i="1"/>
  <c r="BH212" i="1"/>
  <c r="BD212" i="1"/>
  <c r="AF212" i="1"/>
  <c r="V212" i="1"/>
  <c r="Q212" i="1"/>
  <c r="CV211" i="1"/>
  <c r="CM211" i="1"/>
  <c r="CH211" i="1"/>
  <c r="CE211" i="1"/>
  <c r="BQ211" i="1"/>
  <c r="BN211" i="1"/>
  <c r="BH211" i="1"/>
  <c r="BD211" i="1"/>
  <c r="AF211" i="1"/>
  <c r="V211" i="1"/>
  <c r="Q211" i="1"/>
  <c r="J211" i="1"/>
  <c r="CV210" i="1"/>
  <c r="CM210" i="1"/>
  <c r="CH210" i="1"/>
  <c r="CE210" i="1"/>
  <c r="BQ210" i="1"/>
  <c r="BN210" i="1"/>
  <c r="BH210" i="1"/>
  <c r="BD210" i="1"/>
  <c r="AF210" i="1"/>
  <c r="V210" i="1"/>
  <c r="Q210" i="1"/>
  <c r="J210" i="1"/>
  <c r="CV209" i="1"/>
  <c r="CM209" i="1"/>
  <c r="CH209" i="1"/>
  <c r="CE209" i="1"/>
  <c r="BQ209" i="1"/>
  <c r="BN209" i="1"/>
  <c r="BH209" i="1"/>
  <c r="BD209" i="1"/>
  <c r="AF209" i="1"/>
  <c r="Q209" i="1"/>
  <c r="J209" i="1"/>
  <c r="CV208" i="1"/>
  <c r="CM208" i="1"/>
  <c r="CH208" i="1"/>
  <c r="CE208" i="1"/>
  <c r="BQ208" i="1"/>
  <c r="BN208" i="1"/>
  <c r="BH208" i="1"/>
  <c r="BD208" i="1"/>
  <c r="AF208" i="1"/>
  <c r="V208" i="1"/>
  <c r="Q208" i="1"/>
  <c r="J208" i="1"/>
  <c r="CX207" i="1"/>
  <c r="CW207" i="1"/>
  <c r="CT207" i="1"/>
  <c r="CS207" i="1"/>
  <c r="CR207" i="1"/>
  <c r="CQ207" i="1"/>
  <c r="CO207" i="1"/>
  <c r="CN207" i="1"/>
  <c r="CL207" i="1"/>
  <c r="CK207" i="1"/>
  <c r="CJ207" i="1"/>
  <c r="CI207" i="1"/>
  <c r="CG207" i="1"/>
  <c r="CF207" i="1"/>
  <c r="CB207" i="1"/>
  <c r="CA207" i="1"/>
  <c r="BZ207" i="1"/>
  <c r="BY207" i="1"/>
  <c r="BX207" i="1"/>
  <c r="BW207" i="1"/>
  <c r="BV207" i="1"/>
  <c r="BU207" i="1"/>
  <c r="BT207" i="1"/>
  <c r="BS207" i="1"/>
  <c r="BR207" i="1"/>
  <c r="BO207" i="1"/>
  <c r="BM207" i="1"/>
  <c r="BL207" i="1"/>
  <c r="BK207" i="1"/>
  <c r="BJ207" i="1"/>
  <c r="BI207" i="1"/>
  <c r="BG207" i="1"/>
  <c r="BF207" i="1"/>
  <c r="BE207" i="1"/>
  <c r="BB207" i="1"/>
  <c r="BA207" i="1"/>
  <c r="AZ207" i="1"/>
  <c r="AY207" i="1"/>
  <c r="AX207" i="1"/>
  <c r="AU207" i="1"/>
  <c r="AT207" i="1"/>
  <c r="AS207" i="1"/>
  <c r="AQ207" i="1"/>
  <c r="AP207" i="1"/>
  <c r="AO207" i="1"/>
  <c r="AN207" i="1"/>
  <c r="AM207" i="1"/>
  <c r="AL207" i="1"/>
  <c r="AK207" i="1"/>
  <c r="AJ207" i="1"/>
  <c r="AI207" i="1"/>
  <c r="AH207" i="1"/>
  <c r="AG207" i="1"/>
  <c r="AE207" i="1"/>
  <c r="AD207" i="1"/>
  <c r="AB207" i="1"/>
  <c r="AA207" i="1"/>
  <c r="Z207" i="1"/>
  <c r="Y207" i="1"/>
  <c r="X207" i="1"/>
  <c r="W207" i="1"/>
  <c r="U207" i="1"/>
  <c r="T207" i="1"/>
  <c r="S207" i="1"/>
  <c r="R207" i="1"/>
  <c r="P207" i="1"/>
  <c r="O207" i="1"/>
  <c r="N207" i="1"/>
  <c r="M207" i="1"/>
  <c r="L207" i="1"/>
  <c r="K207" i="1"/>
  <c r="J212" i="1" s="1"/>
  <c r="I207" i="1"/>
  <c r="H207" i="1"/>
  <c r="CV206" i="1"/>
  <c r="CM206" i="1"/>
  <c r="CH206" i="1"/>
  <c r="CE206" i="1"/>
  <c r="BQ206" i="1"/>
  <c r="BN206" i="1"/>
  <c r="BH206" i="1"/>
  <c r="BD206" i="1"/>
  <c r="V206" i="1"/>
  <c r="Q206" i="1"/>
  <c r="J206" i="1"/>
  <c r="CV205" i="1"/>
  <c r="CM205" i="1"/>
  <c r="CH205" i="1"/>
  <c r="CE205" i="1"/>
  <c r="BQ205" i="1"/>
  <c r="BN205" i="1"/>
  <c r="BH205" i="1"/>
  <c r="BD205" i="1"/>
  <c r="V205" i="1"/>
  <c r="Q205" i="1"/>
  <c r="J205" i="1"/>
  <c r="CV204" i="1"/>
  <c r="CM204" i="1"/>
  <c r="CH204" i="1"/>
  <c r="CE204" i="1"/>
  <c r="BQ204" i="1"/>
  <c r="BN204" i="1"/>
  <c r="BH204" i="1"/>
  <c r="BD204" i="1"/>
  <c r="V204" i="1"/>
  <c r="Q204" i="1"/>
  <c r="J204" i="1"/>
  <c r="CV203" i="1"/>
  <c r="CM203" i="1"/>
  <c r="CH203" i="1"/>
  <c r="CE203" i="1"/>
  <c r="BN203" i="1"/>
  <c r="BH203" i="1"/>
  <c r="BD203" i="1"/>
  <c r="V203" i="1"/>
  <c r="Q203" i="1"/>
  <c r="CV202" i="1"/>
  <c r="CM202" i="1"/>
  <c r="CH202" i="1"/>
  <c r="CE202" i="1"/>
  <c r="BQ202" i="1"/>
  <c r="BN202" i="1"/>
  <c r="BH202" i="1"/>
  <c r="BD202" i="1"/>
  <c r="V202" i="1"/>
  <c r="Q202" i="1"/>
  <c r="J202" i="1"/>
  <c r="CV201" i="1"/>
  <c r="CM201" i="1"/>
  <c r="CH201" i="1"/>
  <c r="CE201" i="1"/>
  <c r="BN201" i="1"/>
  <c r="BH201" i="1"/>
  <c r="BD201" i="1"/>
  <c r="V201" i="1"/>
  <c r="Q201" i="1"/>
  <c r="CV200" i="1"/>
  <c r="CM200" i="1"/>
  <c r="CH200" i="1"/>
  <c r="CE200" i="1"/>
  <c r="BQ200" i="1"/>
  <c r="BN200" i="1"/>
  <c r="BH200" i="1"/>
  <c r="BD200" i="1"/>
  <c r="V200" i="1"/>
  <c r="Q200" i="1"/>
  <c r="J200" i="1"/>
  <c r="CV199" i="1"/>
  <c r="CM199" i="1"/>
  <c r="CH199" i="1"/>
  <c r="CE199" i="1"/>
  <c r="BQ199" i="1"/>
  <c r="BN199" i="1"/>
  <c r="BH199" i="1"/>
  <c r="BD199" i="1"/>
  <c r="V199" i="1"/>
  <c r="Q199" i="1"/>
  <c r="CX198" i="1"/>
  <c r="CW198" i="1"/>
  <c r="CT198" i="1"/>
  <c r="CS198" i="1"/>
  <c r="CR198" i="1"/>
  <c r="CQ198" i="1"/>
  <c r="CO198" i="1"/>
  <c r="CN198" i="1"/>
  <c r="CL198" i="1"/>
  <c r="CK198" i="1"/>
  <c r="CJ198" i="1"/>
  <c r="CI198" i="1"/>
  <c r="CG198" i="1"/>
  <c r="CF198" i="1"/>
  <c r="BZ198" i="1"/>
  <c r="BY198" i="1"/>
  <c r="BX198" i="1"/>
  <c r="BW198" i="1"/>
  <c r="BV198" i="1"/>
  <c r="BU198" i="1"/>
  <c r="BT198" i="1"/>
  <c r="BS198" i="1"/>
  <c r="BR198" i="1"/>
  <c r="BO198" i="1"/>
  <c r="BM198" i="1"/>
  <c r="BL198" i="1"/>
  <c r="BK198" i="1"/>
  <c r="BJ198" i="1"/>
  <c r="BI198" i="1"/>
  <c r="BG198" i="1"/>
  <c r="BF198" i="1"/>
  <c r="BE198" i="1"/>
  <c r="BB198" i="1"/>
  <c r="BA198" i="1"/>
  <c r="AZ198" i="1"/>
  <c r="AY198" i="1"/>
  <c r="AX198" i="1"/>
  <c r="AU198" i="1"/>
  <c r="AT198" i="1"/>
  <c r="AS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U198" i="1"/>
  <c r="T198" i="1"/>
  <c r="S198" i="1"/>
  <c r="R198" i="1"/>
  <c r="P198" i="1"/>
  <c r="O198" i="1"/>
  <c r="N198" i="1"/>
  <c r="M198" i="1"/>
  <c r="L198" i="1"/>
  <c r="K198" i="1"/>
  <c r="J203" i="1" s="1"/>
  <c r="CV197" i="1"/>
  <c r="CM197" i="1"/>
  <c r="CH197" i="1"/>
  <c r="CE197" i="1"/>
  <c r="BQ197" i="1"/>
  <c r="BN197" i="1"/>
  <c r="BH197" i="1"/>
  <c r="BD197" i="1"/>
  <c r="AF197" i="1"/>
  <c r="V197" i="1"/>
  <c r="Q197" i="1"/>
  <c r="CX196" i="1"/>
  <c r="CW196" i="1"/>
  <c r="CT196" i="1"/>
  <c r="CS196" i="1"/>
  <c r="CR196" i="1"/>
  <c r="CQ196" i="1"/>
  <c r="CO196" i="1"/>
  <c r="CN196" i="1"/>
  <c r="CL196" i="1"/>
  <c r="CK196" i="1"/>
  <c r="CJ196" i="1"/>
  <c r="CI196" i="1"/>
  <c r="CG196" i="1"/>
  <c r="CF196" i="1"/>
  <c r="CB196" i="1"/>
  <c r="CA196" i="1"/>
  <c r="BZ196" i="1"/>
  <c r="BY196" i="1"/>
  <c r="BX196" i="1"/>
  <c r="BW196" i="1"/>
  <c r="BV196" i="1"/>
  <c r="BU196" i="1"/>
  <c r="BT196" i="1"/>
  <c r="BS196" i="1"/>
  <c r="BR196" i="1"/>
  <c r="BO196" i="1"/>
  <c r="BM196" i="1"/>
  <c r="BL196" i="1"/>
  <c r="BK196" i="1"/>
  <c r="BJ196" i="1"/>
  <c r="BI196" i="1"/>
  <c r="BG196" i="1"/>
  <c r="BF196" i="1"/>
  <c r="BE196" i="1"/>
  <c r="BB196" i="1"/>
  <c r="BA196" i="1"/>
  <c r="AZ196" i="1"/>
  <c r="AY196" i="1"/>
  <c r="AX196" i="1"/>
  <c r="AU196" i="1"/>
  <c r="AT196" i="1"/>
  <c r="AS196" i="1"/>
  <c r="AQ196" i="1"/>
  <c r="AP196" i="1"/>
  <c r="AO196" i="1"/>
  <c r="AN196" i="1"/>
  <c r="AM196" i="1"/>
  <c r="AL196" i="1"/>
  <c r="AK196" i="1"/>
  <c r="AJ196" i="1"/>
  <c r="AI196" i="1"/>
  <c r="AH196" i="1"/>
  <c r="AG196" i="1"/>
  <c r="AE196" i="1"/>
  <c r="AD196" i="1"/>
  <c r="AC196" i="1"/>
  <c r="AB196" i="1"/>
  <c r="AA196" i="1"/>
  <c r="Z196" i="1"/>
  <c r="Y196" i="1"/>
  <c r="X196" i="1"/>
  <c r="W196" i="1"/>
  <c r="U196" i="1"/>
  <c r="T196" i="1"/>
  <c r="S196" i="1"/>
  <c r="R196" i="1"/>
  <c r="P196" i="1"/>
  <c r="O196" i="1"/>
  <c r="N196" i="1"/>
  <c r="M196" i="1"/>
  <c r="L196" i="1"/>
  <c r="J201" i="1" s="1"/>
  <c r="K196" i="1"/>
  <c r="I196" i="1"/>
  <c r="H196" i="1"/>
  <c r="CV195" i="1"/>
  <c r="CM195" i="1"/>
  <c r="CH195" i="1"/>
  <c r="CE195" i="1"/>
  <c r="BQ195" i="1"/>
  <c r="BN195" i="1"/>
  <c r="BH195" i="1"/>
  <c r="BD195" i="1"/>
  <c r="AF195" i="1"/>
  <c r="V195" i="1"/>
  <c r="Q195" i="1"/>
  <c r="CX194" i="1"/>
  <c r="CW194" i="1"/>
  <c r="CT194" i="1"/>
  <c r="CS194" i="1"/>
  <c r="CR194" i="1"/>
  <c r="CQ194" i="1"/>
  <c r="CO194" i="1"/>
  <c r="CN194" i="1"/>
  <c r="CL194" i="1"/>
  <c r="CK194" i="1"/>
  <c r="CJ194" i="1"/>
  <c r="CI194" i="1"/>
  <c r="CG194" i="1"/>
  <c r="CF194" i="1"/>
  <c r="CB194" i="1"/>
  <c r="CA194" i="1"/>
  <c r="BZ194" i="1"/>
  <c r="BY194" i="1"/>
  <c r="BX194" i="1"/>
  <c r="BW194" i="1"/>
  <c r="BV194" i="1"/>
  <c r="BU194" i="1"/>
  <c r="BT194" i="1"/>
  <c r="BS194" i="1"/>
  <c r="BR194" i="1"/>
  <c r="BO194" i="1"/>
  <c r="BM194" i="1"/>
  <c r="BL194" i="1"/>
  <c r="BK194" i="1"/>
  <c r="BJ194" i="1"/>
  <c r="BI194" i="1"/>
  <c r="BG194" i="1"/>
  <c r="BF194" i="1"/>
  <c r="BE194" i="1"/>
  <c r="BB194" i="1"/>
  <c r="BA194" i="1"/>
  <c r="AZ194" i="1"/>
  <c r="AY194" i="1"/>
  <c r="AX194" i="1"/>
  <c r="AU194" i="1"/>
  <c r="AT194" i="1"/>
  <c r="AS194" i="1"/>
  <c r="AQ194" i="1"/>
  <c r="AP194" i="1"/>
  <c r="AO194" i="1"/>
  <c r="AN194" i="1"/>
  <c r="AM194" i="1"/>
  <c r="AL194" i="1"/>
  <c r="AK194" i="1"/>
  <c r="AJ194" i="1"/>
  <c r="AI194" i="1"/>
  <c r="AH194" i="1"/>
  <c r="AG194" i="1"/>
  <c r="AE194" i="1"/>
  <c r="AD194" i="1"/>
  <c r="AC194" i="1"/>
  <c r="AB194" i="1"/>
  <c r="AA194" i="1"/>
  <c r="Z194" i="1"/>
  <c r="Y194" i="1"/>
  <c r="X194" i="1"/>
  <c r="W194" i="1"/>
  <c r="U194" i="1"/>
  <c r="T194" i="1"/>
  <c r="S194" i="1"/>
  <c r="R194" i="1"/>
  <c r="P194" i="1"/>
  <c r="O194" i="1"/>
  <c r="N194" i="1"/>
  <c r="M194" i="1"/>
  <c r="L194" i="1"/>
  <c r="J199" i="1" s="1"/>
  <c r="K194" i="1"/>
  <c r="I194" i="1"/>
  <c r="H194" i="1"/>
  <c r="CV193" i="1"/>
  <c r="CM193" i="1"/>
  <c r="CH193" i="1"/>
  <c r="CE193" i="1"/>
  <c r="BQ193" i="1"/>
  <c r="BN193" i="1"/>
  <c r="BH193" i="1"/>
  <c r="BD193" i="1"/>
  <c r="AF193" i="1"/>
  <c r="V193" i="1"/>
  <c r="Q193" i="1"/>
  <c r="J193" i="1"/>
  <c r="CX192" i="1"/>
  <c r="CW192" i="1"/>
  <c r="CT192" i="1"/>
  <c r="CS192" i="1"/>
  <c r="CR192" i="1"/>
  <c r="CQ192" i="1"/>
  <c r="CO192" i="1"/>
  <c r="CN192" i="1"/>
  <c r="CL192" i="1"/>
  <c r="CK192" i="1"/>
  <c r="CJ192" i="1"/>
  <c r="CI192" i="1"/>
  <c r="CG192" i="1"/>
  <c r="CF192" i="1"/>
  <c r="CB192" i="1"/>
  <c r="CA192" i="1"/>
  <c r="BZ192" i="1"/>
  <c r="BY192" i="1"/>
  <c r="BX192" i="1"/>
  <c r="BW192" i="1"/>
  <c r="BV192" i="1"/>
  <c r="BU192" i="1"/>
  <c r="BT192" i="1"/>
  <c r="BS192" i="1"/>
  <c r="BR192" i="1"/>
  <c r="BO192" i="1"/>
  <c r="BM192" i="1"/>
  <c r="BL192" i="1"/>
  <c r="BK192" i="1"/>
  <c r="BJ192" i="1"/>
  <c r="BI192" i="1"/>
  <c r="BG192" i="1"/>
  <c r="BF192" i="1"/>
  <c r="BE192" i="1"/>
  <c r="BB192" i="1"/>
  <c r="BA192" i="1"/>
  <c r="AZ192" i="1"/>
  <c r="AY192" i="1"/>
  <c r="AX192" i="1"/>
  <c r="AU192" i="1"/>
  <c r="AT192" i="1"/>
  <c r="AS192" i="1"/>
  <c r="AQ192" i="1"/>
  <c r="AP192" i="1"/>
  <c r="AO192" i="1"/>
  <c r="AN192" i="1"/>
  <c r="AM192" i="1"/>
  <c r="AL192" i="1"/>
  <c r="AK192" i="1"/>
  <c r="AJ192" i="1"/>
  <c r="AI192" i="1"/>
  <c r="AH192" i="1"/>
  <c r="AG192" i="1"/>
  <c r="AE192" i="1"/>
  <c r="AD192" i="1"/>
  <c r="AC192" i="1"/>
  <c r="AB192" i="1"/>
  <c r="AA192" i="1"/>
  <c r="Z192" i="1"/>
  <c r="Y192" i="1"/>
  <c r="X192" i="1"/>
  <c r="W192" i="1"/>
  <c r="U192" i="1"/>
  <c r="T192" i="1"/>
  <c r="S192" i="1"/>
  <c r="R192" i="1"/>
  <c r="P192" i="1"/>
  <c r="O192" i="1"/>
  <c r="N192" i="1"/>
  <c r="M192" i="1"/>
  <c r="L192" i="1"/>
  <c r="K192" i="1"/>
  <c r="J197" i="1" s="1"/>
  <c r="I192" i="1"/>
  <c r="H192" i="1"/>
  <c r="CV191" i="1"/>
  <c r="CM191" i="1"/>
  <c r="CH191" i="1"/>
  <c r="CE191" i="1"/>
  <c r="BN191" i="1"/>
  <c r="BH191" i="1"/>
  <c r="BD191" i="1"/>
  <c r="AF191" i="1"/>
  <c r="V191" i="1"/>
  <c r="Q191" i="1"/>
  <c r="CX190" i="1"/>
  <c r="CW190" i="1"/>
  <c r="CT190" i="1"/>
  <c r="CS190" i="1"/>
  <c r="CR190" i="1"/>
  <c r="CQ190" i="1"/>
  <c r="CO190" i="1"/>
  <c r="CN190" i="1"/>
  <c r="CL190" i="1"/>
  <c r="CK190" i="1"/>
  <c r="CJ190" i="1"/>
  <c r="CI190" i="1"/>
  <c r="CG190" i="1"/>
  <c r="CF190" i="1"/>
  <c r="CB190" i="1"/>
  <c r="BZ190" i="1"/>
  <c r="BY190" i="1"/>
  <c r="BX190" i="1"/>
  <c r="BW190" i="1"/>
  <c r="BV190" i="1"/>
  <c r="BU190" i="1"/>
  <c r="BT190" i="1"/>
  <c r="BS190" i="1"/>
  <c r="BR190" i="1"/>
  <c r="BO190" i="1"/>
  <c r="BM190" i="1"/>
  <c r="BL190" i="1"/>
  <c r="BK190" i="1"/>
  <c r="BJ190" i="1"/>
  <c r="BI190" i="1"/>
  <c r="BG190" i="1"/>
  <c r="BF190" i="1"/>
  <c r="BE190" i="1"/>
  <c r="BB190" i="1"/>
  <c r="BA190" i="1"/>
  <c r="AZ190" i="1"/>
  <c r="AY190" i="1"/>
  <c r="AX190" i="1"/>
  <c r="AU190" i="1"/>
  <c r="AT190" i="1"/>
  <c r="AS190" i="1"/>
  <c r="AQ190" i="1"/>
  <c r="AP190" i="1"/>
  <c r="AO190" i="1"/>
  <c r="AN190" i="1"/>
  <c r="AM190" i="1"/>
  <c r="AL190" i="1"/>
  <c r="AK190" i="1"/>
  <c r="AJ190" i="1"/>
  <c r="AI190" i="1"/>
  <c r="AH190" i="1"/>
  <c r="AG190" i="1"/>
  <c r="AE190" i="1"/>
  <c r="AD190" i="1"/>
  <c r="AC190" i="1"/>
  <c r="AB190" i="1"/>
  <c r="AA190" i="1"/>
  <c r="Z190" i="1"/>
  <c r="Y190" i="1"/>
  <c r="X190" i="1"/>
  <c r="W190" i="1"/>
  <c r="U190" i="1"/>
  <c r="T190" i="1"/>
  <c r="S190" i="1"/>
  <c r="R190" i="1"/>
  <c r="P190" i="1"/>
  <c r="O190" i="1"/>
  <c r="N190" i="1"/>
  <c r="M190" i="1"/>
  <c r="L190" i="1"/>
  <c r="K190" i="1"/>
  <c r="J195" i="1" s="1"/>
  <c r="I190" i="1"/>
  <c r="H190" i="1"/>
  <c r="CV189" i="1"/>
  <c r="CM189" i="1"/>
  <c r="CH189" i="1"/>
  <c r="CE189" i="1"/>
  <c r="BQ189" i="1"/>
  <c r="BN189" i="1"/>
  <c r="BH189" i="1"/>
  <c r="BD189" i="1"/>
  <c r="AF189" i="1"/>
  <c r="V189" i="1"/>
  <c r="Q189" i="1"/>
  <c r="J189" i="1"/>
  <c r="CV188" i="1"/>
  <c r="CM188" i="1"/>
  <c r="CH188" i="1"/>
  <c r="CE188" i="1"/>
  <c r="BQ188" i="1"/>
  <c r="BN188" i="1"/>
  <c r="BH188" i="1"/>
  <c r="BD188" i="1"/>
  <c r="AF188" i="1"/>
  <c r="V188" i="1"/>
  <c r="Q188" i="1"/>
  <c r="CV187" i="1"/>
  <c r="CM187" i="1"/>
  <c r="CH187" i="1"/>
  <c r="CE187" i="1"/>
  <c r="BQ187" i="1"/>
  <c r="BN187" i="1"/>
  <c r="BH187" i="1"/>
  <c r="BD187" i="1"/>
  <c r="AF187" i="1"/>
  <c r="V187" i="1"/>
  <c r="Q187" i="1"/>
  <c r="J187" i="1"/>
  <c r="CX186" i="1"/>
  <c r="CW186" i="1"/>
  <c r="CT186" i="1"/>
  <c r="CS186" i="1"/>
  <c r="CR186" i="1"/>
  <c r="CQ186" i="1"/>
  <c r="CO186" i="1"/>
  <c r="CN186" i="1"/>
  <c r="CL186" i="1"/>
  <c r="CK186" i="1"/>
  <c r="CJ186" i="1"/>
  <c r="CI186" i="1"/>
  <c r="CG186" i="1"/>
  <c r="CF186" i="1"/>
  <c r="CB186" i="1"/>
  <c r="CA186" i="1"/>
  <c r="BZ186" i="1"/>
  <c r="BY186" i="1"/>
  <c r="BX186" i="1"/>
  <c r="BW186" i="1"/>
  <c r="BV186" i="1"/>
  <c r="BU186" i="1"/>
  <c r="BT186" i="1"/>
  <c r="BS186" i="1"/>
  <c r="BR186" i="1"/>
  <c r="BO186" i="1"/>
  <c r="BM186" i="1"/>
  <c r="BL186" i="1"/>
  <c r="BK186" i="1"/>
  <c r="BJ186" i="1"/>
  <c r="BI186" i="1"/>
  <c r="BG186" i="1"/>
  <c r="BF186" i="1"/>
  <c r="BE186" i="1"/>
  <c r="BB186" i="1"/>
  <c r="BA186" i="1"/>
  <c r="AZ186" i="1"/>
  <c r="AY186" i="1"/>
  <c r="AX186" i="1"/>
  <c r="AU186" i="1"/>
  <c r="AT186" i="1"/>
  <c r="AS186" i="1"/>
  <c r="AQ186" i="1"/>
  <c r="AP186" i="1"/>
  <c r="AO186" i="1"/>
  <c r="AN186" i="1"/>
  <c r="AM186" i="1"/>
  <c r="AL186" i="1"/>
  <c r="AK186" i="1"/>
  <c r="AJ186" i="1"/>
  <c r="AI186" i="1"/>
  <c r="AH186" i="1"/>
  <c r="AG186" i="1"/>
  <c r="AE186" i="1"/>
  <c r="AD186" i="1"/>
  <c r="AC186" i="1"/>
  <c r="AB186" i="1"/>
  <c r="AA186" i="1"/>
  <c r="Z186" i="1"/>
  <c r="Y186" i="1"/>
  <c r="X186" i="1"/>
  <c r="W186" i="1"/>
  <c r="U186" i="1"/>
  <c r="T186" i="1"/>
  <c r="S186" i="1"/>
  <c r="R186" i="1"/>
  <c r="P186" i="1"/>
  <c r="O186" i="1"/>
  <c r="N186" i="1"/>
  <c r="M186" i="1"/>
  <c r="L186" i="1"/>
  <c r="J191" i="1" s="1"/>
  <c r="K186" i="1"/>
  <c r="CV185" i="1"/>
  <c r="CM185" i="1"/>
  <c r="CH185" i="1"/>
  <c r="CE185" i="1"/>
  <c r="BQ185" i="1"/>
  <c r="BN185" i="1"/>
  <c r="BH185" i="1"/>
  <c r="BD185" i="1"/>
  <c r="AF185" i="1"/>
  <c r="V185" i="1"/>
  <c r="Q185" i="1"/>
  <c r="J185" i="1"/>
  <c r="CV184" i="1"/>
  <c r="CM184" i="1"/>
  <c r="CH184" i="1"/>
  <c r="CE184" i="1"/>
  <c r="BQ184" i="1"/>
  <c r="BN184" i="1"/>
  <c r="BH184" i="1"/>
  <c r="BD184" i="1"/>
  <c r="AF184" i="1"/>
  <c r="V184" i="1"/>
  <c r="Q184" i="1"/>
  <c r="CV182" i="1"/>
  <c r="CM182" i="1"/>
  <c r="CH182" i="1"/>
  <c r="CE182" i="1"/>
  <c r="BQ182" i="1"/>
  <c r="BN182" i="1"/>
  <c r="BH182" i="1"/>
  <c r="BD182" i="1"/>
  <c r="AF182" i="1"/>
  <c r="V182" i="1"/>
  <c r="Q182" i="1"/>
  <c r="J182" i="1"/>
  <c r="CX181" i="1"/>
  <c r="CW181" i="1"/>
  <c r="CT181" i="1"/>
  <c r="CS181" i="1"/>
  <c r="CR181" i="1"/>
  <c r="CQ181" i="1"/>
  <c r="CO181" i="1"/>
  <c r="CN181" i="1"/>
  <c r="CL181" i="1"/>
  <c r="CK181" i="1"/>
  <c r="CJ181" i="1"/>
  <c r="CI181" i="1"/>
  <c r="CG181" i="1"/>
  <c r="CF181" i="1"/>
  <c r="CB181" i="1"/>
  <c r="CA181" i="1"/>
  <c r="BZ181" i="1"/>
  <c r="BY181" i="1"/>
  <c r="BX181" i="1"/>
  <c r="BW181" i="1"/>
  <c r="BV181" i="1"/>
  <c r="BU181" i="1"/>
  <c r="BT181" i="1"/>
  <c r="BS181" i="1"/>
  <c r="BR181" i="1"/>
  <c r="BO181" i="1"/>
  <c r="BM181" i="1"/>
  <c r="BL181" i="1"/>
  <c r="BK181" i="1"/>
  <c r="BJ181" i="1"/>
  <c r="BI181" i="1"/>
  <c r="BG181" i="1"/>
  <c r="BF181" i="1"/>
  <c r="BE181" i="1"/>
  <c r="BB181" i="1"/>
  <c r="BA181" i="1"/>
  <c r="AZ181" i="1"/>
  <c r="AY181" i="1"/>
  <c r="AX181" i="1"/>
  <c r="AU181" i="1"/>
  <c r="AT181" i="1"/>
  <c r="AS181" i="1"/>
  <c r="AQ181" i="1"/>
  <c r="AP181" i="1"/>
  <c r="AO181" i="1"/>
  <c r="AN181" i="1"/>
  <c r="AM181" i="1"/>
  <c r="AL181" i="1"/>
  <c r="AK181" i="1"/>
  <c r="AJ181" i="1"/>
  <c r="AI181" i="1"/>
  <c r="AH181" i="1"/>
  <c r="AG181" i="1"/>
  <c r="AE181" i="1"/>
  <c r="AD181" i="1"/>
  <c r="AC181" i="1"/>
  <c r="AB181" i="1"/>
  <c r="AA181" i="1"/>
  <c r="Z181" i="1"/>
  <c r="Y181" i="1"/>
  <c r="X181" i="1"/>
  <c r="W181" i="1"/>
  <c r="U181" i="1"/>
  <c r="T181" i="1"/>
  <c r="S181" i="1"/>
  <c r="R181" i="1"/>
  <c r="P181" i="1"/>
  <c r="O181" i="1"/>
  <c r="N181" i="1"/>
  <c r="M181" i="1"/>
  <c r="L181" i="1"/>
  <c r="K181" i="1"/>
  <c r="I181" i="1"/>
  <c r="CV180" i="1"/>
  <c r="CM180" i="1"/>
  <c r="CH180" i="1"/>
  <c r="CH179" i="1" s="1"/>
  <c r="CE180" i="1"/>
  <c r="BQ180" i="1"/>
  <c r="BN180" i="1"/>
  <c r="BH180" i="1"/>
  <c r="BD180" i="1"/>
  <c r="V180" i="1"/>
  <c r="Q180" i="1"/>
  <c r="J180" i="1"/>
  <c r="CX179" i="1"/>
  <c r="CW179" i="1"/>
  <c r="CT179" i="1"/>
  <c r="CS179" i="1"/>
  <c r="CR179" i="1"/>
  <c r="CQ179" i="1"/>
  <c r="CO179" i="1"/>
  <c r="CN179" i="1"/>
  <c r="CL179" i="1"/>
  <c r="CK179" i="1"/>
  <c r="CJ179" i="1"/>
  <c r="CI179" i="1"/>
  <c r="CG179" i="1"/>
  <c r="CF179" i="1"/>
  <c r="CB179" i="1"/>
  <c r="CA179" i="1"/>
  <c r="BZ179" i="1"/>
  <c r="BY179" i="1"/>
  <c r="BX179" i="1"/>
  <c r="BW179" i="1"/>
  <c r="BV179" i="1"/>
  <c r="BU179" i="1"/>
  <c r="BT179" i="1"/>
  <c r="BS179" i="1"/>
  <c r="BR179" i="1"/>
  <c r="BO179" i="1"/>
  <c r="BM179" i="1"/>
  <c r="BL179" i="1"/>
  <c r="BK179" i="1"/>
  <c r="BJ179" i="1"/>
  <c r="BI179" i="1"/>
  <c r="BG179" i="1"/>
  <c r="BF179" i="1"/>
  <c r="BE179" i="1"/>
  <c r="BB179" i="1"/>
  <c r="BA179" i="1"/>
  <c r="AZ179" i="1"/>
  <c r="AY179" i="1"/>
  <c r="AX179" i="1"/>
  <c r="AU179" i="1"/>
  <c r="AT179" i="1"/>
  <c r="AS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U179" i="1"/>
  <c r="T179" i="1"/>
  <c r="S179" i="1"/>
  <c r="R179" i="1"/>
  <c r="P179" i="1"/>
  <c r="O179" i="1"/>
  <c r="N179" i="1"/>
  <c r="M179" i="1"/>
  <c r="L179" i="1"/>
  <c r="K179" i="1"/>
  <c r="J184" i="1" s="1"/>
  <c r="I179" i="1"/>
  <c r="H179" i="1"/>
  <c r="CV178" i="1"/>
  <c r="CM178" i="1"/>
  <c r="CH178" i="1"/>
  <c r="CE178" i="1"/>
  <c r="BQ178" i="1"/>
  <c r="BN178" i="1"/>
  <c r="BH178" i="1"/>
  <c r="BD178" i="1"/>
  <c r="AF178" i="1"/>
  <c r="V178" i="1"/>
  <c r="Q178" i="1"/>
  <c r="CV177" i="1"/>
  <c r="CM177" i="1"/>
  <c r="CH177" i="1"/>
  <c r="CE177" i="1"/>
  <c r="BQ177" i="1"/>
  <c r="BN177" i="1"/>
  <c r="BH177" i="1"/>
  <c r="BD177" i="1"/>
  <c r="AF177" i="1"/>
  <c r="V177" i="1"/>
  <c r="Q177" i="1"/>
  <c r="J177" i="1"/>
  <c r="CX176" i="1"/>
  <c r="CW176" i="1"/>
  <c r="CT176" i="1"/>
  <c r="CS176" i="1"/>
  <c r="CR176" i="1"/>
  <c r="CQ176" i="1"/>
  <c r="CO176" i="1"/>
  <c r="CN176" i="1"/>
  <c r="CL176" i="1"/>
  <c r="CK176" i="1"/>
  <c r="CJ176" i="1"/>
  <c r="CI176" i="1"/>
  <c r="CG176" i="1"/>
  <c r="CF176" i="1"/>
  <c r="CB176" i="1"/>
  <c r="CA176" i="1"/>
  <c r="BZ176" i="1"/>
  <c r="BY176" i="1"/>
  <c r="BX176" i="1"/>
  <c r="BW176" i="1"/>
  <c r="BV176" i="1"/>
  <c r="BU176" i="1"/>
  <c r="BT176" i="1"/>
  <c r="BS176" i="1"/>
  <c r="BR176" i="1"/>
  <c r="BO176" i="1"/>
  <c r="BM176" i="1"/>
  <c r="BL176" i="1"/>
  <c r="BK176" i="1"/>
  <c r="BJ176" i="1"/>
  <c r="BI176" i="1"/>
  <c r="BG176" i="1"/>
  <c r="BF176" i="1"/>
  <c r="BE176" i="1"/>
  <c r="BB176" i="1"/>
  <c r="BA176" i="1"/>
  <c r="AZ176" i="1"/>
  <c r="AY176" i="1"/>
  <c r="AX176" i="1"/>
  <c r="AW176" i="1"/>
  <c r="AV176" i="1"/>
  <c r="AU176" i="1"/>
  <c r="AT176" i="1"/>
  <c r="AS176" i="1"/>
  <c r="AQ176" i="1"/>
  <c r="AP176" i="1"/>
  <c r="AO176" i="1"/>
  <c r="AN176" i="1"/>
  <c r="AM176" i="1"/>
  <c r="AL176" i="1"/>
  <c r="AK176" i="1"/>
  <c r="AJ176" i="1"/>
  <c r="AI176" i="1"/>
  <c r="AH176" i="1"/>
  <c r="AG176" i="1"/>
  <c r="AE176" i="1"/>
  <c r="AD176" i="1"/>
  <c r="AC176" i="1"/>
  <c r="AB176" i="1"/>
  <c r="AA176" i="1"/>
  <c r="Z176" i="1"/>
  <c r="Y176" i="1"/>
  <c r="X176" i="1"/>
  <c r="W176" i="1"/>
  <c r="U176" i="1"/>
  <c r="T176" i="1"/>
  <c r="S176" i="1"/>
  <c r="R176" i="1"/>
  <c r="P176" i="1"/>
  <c r="O176" i="1"/>
  <c r="N176" i="1"/>
  <c r="M176" i="1"/>
  <c r="L176" i="1"/>
  <c r="K176" i="1"/>
  <c r="H176" i="1"/>
  <c r="CV175" i="1"/>
  <c r="CM175" i="1"/>
  <c r="CH175" i="1"/>
  <c r="CE175" i="1"/>
  <c r="BQ175" i="1"/>
  <c r="BN175" i="1"/>
  <c r="BH175" i="1"/>
  <c r="BD175" i="1"/>
  <c r="AF175" i="1"/>
  <c r="V175" i="1"/>
  <c r="Q175" i="1"/>
  <c r="CV174" i="1"/>
  <c r="CM174" i="1"/>
  <c r="CH174" i="1"/>
  <c r="CE174" i="1"/>
  <c r="BQ174" i="1"/>
  <c r="BN174" i="1"/>
  <c r="BH174" i="1"/>
  <c r="BD174" i="1"/>
  <c r="AF174" i="1"/>
  <c r="V174" i="1"/>
  <c r="Q174" i="1"/>
  <c r="P174" i="1"/>
  <c r="CX173" i="1"/>
  <c r="CW173" i="1"/>
  <c r="CT173" i="1"/>
  <c r="CS173" i="1"/>
  <c r="CR173" i="1"/>
  <c r="CQ173" i="1"/>
  <c r="CP173" i="1"/>
  <c r="CO173" i="1"/>
  <c r="CN173" i="1"/>
  <c r="CL173" i="1"/>
  <c r="CK173" i="1"/>
  <c r="CJ173" i="1"/>
  <c r="CI173" i="1"/>
  <c r="CG173" i="1"/>
  <c r="CF173" i="1"/>
  <c r="CB173" i="1"/>
  <c r="CA173" i="1"/>
  <c r="BZ173" i="1"/>
  <c r="BY173" i="1"/>
  <c r="BX173" i="1"/>
  <c r="BW173" i="1"/>
  <c r="BV173" i="1"/>
  <c r="BU173" i="1"/>
  <c r="BT173" i="1"/>
  <c r="BS173" i="1"/>
  <c r="BR173" i="1"/>
  <c r="BO173" i="1"/>
  <c r="BM173" i="1"/>
  <c r="BL173" i="1"/>
  <c r="BK173" i="1"/>
  <c r="BJ173" i="1"/>
  <c r="BI173" i="1"/>
  <c r="BG173" i="1"/>
  <c r="BF173" i="1"/>
  <c r="BE173" i="1"/>
  <c r="BB173" i="1"/>
  <c r="BA173" i="1"/>
  <c r="AZ173" i="1"/>
  <c r="AY173" i="1"/>
  <c r="AX173" i="1"/>
  <c r="AW173" i="1"/>
  <c r="AV173" i="1"/>
  <c r="AU173" i="1"/>
  <c r="AT173" i="1"/>
  <c r="AS173" i="1"/>
  <c r="AQ173" i="1"/>
  <c r="AP173" i="1"/>
  <c r="AO173" i="1"/>
  <c r="AN173" i="1"/>
  <c r="AM173" i="1"/>
  <c r="AL173" i="1"/>
  <c r="AK173" i="1"/>
  <c r="AJ173" i="1"/>
  <c r="AI173" i="1"/>
  <c r="AH173" i="1"/>
  <c r="AG173" i="1"/>
  <c r="AE173" i="1"/>
  <c r="AD173" i="1"/>
  <c r="AC173" i="1"/>
  <c r="AB173" i="1"/>
  <c r="AA173" i="1"/>
  <c r="Z173" i="1"/>
  <c r="Y173" i="1"/>
  <c r="X173" i="1"/>
  <c r="W173" i="1"/>
  <c r="U173" i="1"/>
  <c r="T173" i="1"/>
  <c r="S173" i="1"/>
  <c r="R173" i="1"/>
  <c r="O173" i="1"/>
  <c r="N173" i="1"/>
  <c r="M173" i="1"/>
  <c r="L173" i="1"/>
  <c r="J178" i="1" s="1"/>
  <c r="K173" i="1"/>
  <c r="I173" i="1"/>
  <c r="H173" i="1"/>
  <c r="CV172" i="1"/>
  <c r="CM172" i="1"/>
  <c r="CH172" i="1"/>
  <c r="CE172" i="1"/>
  <c r="BQ172" i="1"/>
  <c r="BN172" i="1"/>
  <c r="BH172" i="1"/>
  <c r="BD172" i="1"/>
  <c r="AF172" i="1"/>
  <c r="V172" i="1"/>
  <c r="Q172" i="1"/>
  <c r="P171" i="1"/>
  <c r="M171" i="1"/>
  <c r="L171" i="1"/>
  <c r="CX171" i="1"/>
  <c r="CW171" i="1"/>
  <c r="CT171" i="1"/>
  <c r="CS171" i="1"/>
  <c r="CR171" i="1"/>
  <c r="CQ171" i="1"/>
  <c r="CO171" i="1"/>
  <c r="CN171" i="1"/>
  <c r="CL171" i="1"/>
  <c r="CK171" i="1"/>
  <c r="CJ171" i="1"/>
  <c r="CI171" i="1"/>
  <c r="CF171" i="1"/>
  <c r="CB171" i="1"/>
  <c r="CA171" i="1"/>
  <c r="BZ171" i="1"/>
  <c r="BY171" i="1"/>
  <c r="BX171" i="1"/>
  <c r="BW171" i="1"/>
  <c r="BV171" i="1"/>
  <c r="BU171" i="1"/>
  <c r="BT171" i="1"/>
  <c r="BS171" i="1"/>
  <c r="BR171" i="1"/>
  <c r="BO171" i="1"/>
  <c r="BM171" i="1"/>
  <c r="BL171" i="1"/>
  <c r="BK171" i="1"/>
  <c r="BJ171" i="1"/>
  <c r="BI171" i="1"/>
  <c r="BG171" i="1"/>
  <c r="BF171" i="1"/>
  <c r="BE171" i="1"/>
  <c r="BB171" i="1"/>
  <c r="BA171" i="1"/>
  <c r="AZ171" i="1"/>
  <c r="AY171" i="1"/>
  <c r="AX171" i="1"/>
  <c r="AW171" i="1"/>
  <c r="AV171" i="1"/>
  <c r="AU171" i="1"/>
  <c r="AT171" i="1"/>
  <c r="AS171" i="1"/>
  <c r="AQ171" i="1"/>
  <c r="AP171" i="1"/>
  <c r="AO171" i="1"/>
  <c r="AN171" i="1"/>
  <c r="AM171" i="1"/>
  <c r="AL171" i="1"/>
  <c r="AK171" i="1"/>
  <c r="AI171" i="1"/>
  <c r="AH171" i="1"/>
  <c r="AG171" i="1"/>
  <c r="AE171" i="1"/>
  <c r="AD171" i="1"/>
  <c r="AC171" i="1"/>
  <c r="AB171" i="1"/>
  <c r="AA171" i="1"/>
  <c r="Z171" i="1"/>
  <c r="Y171" i="1"/>
  <c r="X171" i="1"/>
  <c r="W171" i="1"/>
  <c r="U171" i="1"/>
  <c r="T171" i="1"/>
  <c r="S171" i="1"/>
  <c r="R171" i="1"/>
  <c r="O171" i="1"/>
  <c r="N171" i="1"/>
  <c r="I171" i="1"/>
  <c r="H171" i="1"/>
  <c r="CV169" i="1"/>
  <c r="CH169" i="1"/>
  <c r="CE169" i="1"/>
  <c r="BQ169" i="1"/>
  <c r="BN169" i="1"/>
  <c r="BH169" i="1"/>
  <c r="BD169" i="1"/>
  <c r="Q169" i="1"/>
  <c r="CV168" i="1"/>
  <c r="CM168" i="1"/>
  <c r="CH168" i="1"/>
  <c r="CE168" i="1"/>
  <c r="BQ168" i="1"/>
  <c r="BN168" i="1"/>
  <c r="BH168" i="1"/>
  <c r="BD168" i="1"/>
  <c r="V168" i="1"/>
  <c r="Q168" i="1"/>
  <c r="CV167" i="1"/>
  <c r="CM167" i="1"/>
  <c r="CH167" i="1"/>
  <c r="CE167" i="1"/>
  <c r="BQ167" i="1"/>
  <c r="BN167" i="1"/>
  <c r="BH167" i="1"/>
  <c r="BD167" i="1"/>
  <c r="AF167" i="1"/>
  <c r="V167" i="1"/>
  <c r="Q167" i="1"/>
  <c r="J167" i="1"/>
  <c r="CX166" i="1"/>
  <c r="CW166" i="1"/>
  <c r="CT166" i="1"/>
  <c r="CS166" i="1"/>
  <c r="CR166" i="1"/>
  <c r="CQ166" i="1"/>
  <c r="CO166" i="1"/>
  <c r="CL166" i="1"/>
  <c r="CK166" i="1"/>
  <c r="CJ166" i="1"/>
  <c r="CI166" i="1"/>
  <c r="CG166" i="1"/>
  <c r="CF166" i="1"/>
  <c r="CB166" i="1"/>
  <c r="CA166" i="1"/>
  <c r="BZ166" i="1"/>
  <c r="BY166" i="1"/>
  <c r="BX166" i="1"/>
  <c r="BW166" i="1"/>
  <c r="BV166" i="1"/>
  <c r="BU166" i="1"/>
  <c r="BT166" i="1"/>
  <c r="BS166" i="1"/>
  <c r="BR166" i="1"/>
  <c r="BO166" i="1"/>
  <c r="BM166" i="1"/>
  <c r="BL166" i="1"/>
  <c r="BK166" i="1"/>
  <c r="BJ166" i="1"/>
  <c r="BI166" i="1"/>
  <c r="BG166" i="1"/>
  <c r="BF166" i="1"/>
  <c r="BE166" i="1"/>
  <c r="BB166" i="1"/>
  <c r="BA166" i="1"/>
  <c r="AZ166" i="1"/>
  <c r="AY166" i="1"/>
  <c r="AX166" i="1"/>
  <c r="AU166" i="1"/>
  <c r="AT166" i="1"/>
  <c r="AS166" i="1"/>
  <c r="AQ166" i="1"/>
  <c r="AP166" i="1"/>
  <c r="AN166" i="1"/>
  <c r="AM166" i="1"/>
  <c r="AL166" i="1"/>
  <c r="AK166" i="1"/>
  <c r="AH166" i="1"/>
  <c r="AG166" i="1"/>
  <c r="AE166" i="1"/>
  <c r="AD166" i="1"/>
  <c r="AC166" i="1"/>
  <c r="AB166" i="1"/>
  <c r="AA166" i="1"/>
  <c r="Z166" i="1"/>
  <c r="Y166" i="1"/>
  <c r="X166" i="1"/>
  <c r="T166" i="1"/>
  <c r="S166" i="1"/>
  <c r="R166" i="1"/>
  <c r="P166" i="1"/>
  <c r="N166" i="1"/>
  <c r="M166" i="1"/>
  <c r="L166" i="1"/>
  <c r="K166" i="1"/>
  <c r="CV165" i="1"/>
  <c r="CM165" i="1"/>
  <c r="CH165" i="1"/>
  <c r="CE165" i="1"/>
  <c r="BQ165" i="1"/>
  <c r="BN165" i="1"/>
  <c r="BH165" i="1"/>
  <c r="BD165" i="1"/>
  <c r="V165" i="1"/>
  <c r="Q165" i="1"/>
  <c r="CV162" i="1"/>
  <c r="CM162" i="1"/>
  <c r="CH162" i="1"/>
  <c r="CE162" i="1"/>
  <c r="BQ162" i="1"/>
  <c r="BN162" i="1"/>
  <c r="BH162" i="1"/>
  <c r="BD162" i="1"/>
  <c r="Q162" i="1"/>
  <c r="CX161" i="1"/>
  <c r="CW161" i="1"/>
  <c r="CT161" i="1"/>
  <c r="CS161" i="1"/>
  <c r="CR161" i="1"/>
  <c r="CQ161" i="1"/>
  <c r="CO161" i="1"/>
  <c r="CN161" i="1"/>
  <c r="CL161" i="1"/>
  <c r="CK161" i="1"/>
  <c r="CJ161" i="1"/>
  <c r="CJ160" i="1" s="1"/>
  <c r="CI161" i="1"/>
  <c r="CF161" i="1"/>
  <c r="CB161" i="1"/>
  <c r="CA161" i="1"/>
  <c r="BZ161" i="1"/>
  <c r="BY161" i="1"/>
  <c r="BX161" i="1"/>
  <c r="BW161" i="1"/>
  <c r="BV161" i="1"/>
  <c r="BU161" i="1"/>
  <c r="BT161" i="1"/>
  <c r="BS161" i="1"/>
  <c r="BR161" i="1"/>
  <c r="BO161" i="1"/>
  <c r="BM161" i="1"/>
  <c r="BL161" i="1"/>
  <c r="BK161" i="1"/>
  <c r="BJ161" i="1"/>
  <c r="BI161" i="1"/>
  <c r="BG161" i="1"/>
  <c r="BF161" i="1"/>
  <c r="BE161" i="1"/>
  <c r="BA161" i="1"/>
  <c r="AZ161" i="1"/>
  <c r="AY161" i="1"/>
  <c r="AX161" i="1"/>
  <c r="AU161" i="1"/>
  <c r="AS161" i="1"/>
  <c r="AQ161" i="1"/>
  <c r="AP161" i="1"/>
  <c r="AO161" i="1"/>
  <c r="AN161" i="1"/>
  <c r="AM161" i="1"/>
  <c r="AL161" i="1"/>
  <c r="AK161" i="1"/>
  <c r="AJ161" i="1"/>
  <c r="AI161" i="1"/>
  <c r="AH161" i="1"/>
  <c r="AG161" i="1"/>
  <c r="AE161" i="1"/>
  <c r="AD161" i="1"/>
  <c r="AC161" i="1"/>
  <c r="AB161" i="1"/>
  <c r="AA161" i="1"/>
  <c r="Z161" i="1"/>
  <c r="X161" i="1"/>
  <c r="W161" i="1"/>
  <c r="T161" i="1"/>
  <c r="R161" i="1"/>
  <c r="N161" i="1"/>
  <c r="M161" i="1"/>
  <c r="L161" i="1"/>
  <c r="K161" i="1"/>
  <c r="CV159" i="1"/>
  <c r="CM159" i="1"/>
  <c r="CH159" i="1"/>
  <c r="CE159" i="1"/>
  <c r="BQ159" i="1"/>
  <c r="BN159" i="1"/>
  <c r="BH159" i="1"/>
  <c r="BD159" i="1"/>
  <c r="AF159" i="1"/>
  <c r="V159" i="1"/>
  <c r="Q159" i="1"/>
  <c r="CV158" i="1"/>
  <c r="CM158" i="1"/>
  <c r="CH158" i="1"/>
  <c r="CE158" i="1"/>
  <c r="BQ158" i="1"/>
  <c r="BN158" i="1"/>
  <c r="BH158" i="1"/>
  <c r="BD158" i="1"/>
  <c r="AF158" i="1"/>
  <c r="V158" i="1"/>
  <c r="Q158" i="1"/>
  <c r="CV157" i="1"/>
  <c r="CM157" i="1"/>
  <c r="CH157" i="1"/>
  <c r="CE157" i="1"/>
  <c r="BQ157" i="1"/>
  <c r="BN157" i="1"/>
  <c r="BH157" i="1"/>
  <c r="BD157" i="1"/>
  <c r="AF157" i="1"/>
  <c r="V157" i="1"/>
  <c r="Q157" i="1"/>
  <c r="J157" i="1"/>
  <c r="CV156" i="1"/>
  <c r="CM156" i="1"/>
  <c r="CH156" i="1"/>
  <c r="CE156" i="1"/>
  <c r="BQ156" i="1"/>
  <c r="BN156" i="1"/>
  <c r="BH156" i="1"/>
  <c r="BD156" i="1"/>
  <c r="AF156" i="1"/>
  <c r="V156" i="1"/>
  <c r="Q156" i="1"/>
  <c r="J156" i="1"/>
  <c r="CV155" i="1"/>
  <c r="CM155" i="1"/>
  <c r="CH155" i="1"/>
  <c r="CE155" i="1"/>
  <c r="BQ155" i="1"/>
  <c r="BN155" i="1"/>
  <c r="BH155" i="1"/>
  <c r="BD155" i="1"/>
  <c r="AF155" i="1"/>
  <c r="V155" i="1"/>
  <c r="Q155" i="1"/>
  <c r="CV154" i="1"/>
  <c r="CM154" i="1"/>
  <c r="CH154" i="1"/>
  <c r="CG154" i="1"/>
  <c r="CG153" i="1" s="1"/>
  <c r="BQ154" i="1"/>
  <c r="BN154" i="1"/>
  <c r="BH154" i="1"/>
  <c r="BD154" i="1"/>
  <c r="BB154" i="1"/>
  <c r="AU154" i="1"/>
  <c r="AT154" i="1"/>
  <c r="AT153" i="1" s="1"/>
  <c r="V154" i="1"/>
  <c r="Q154" i="1"/>
  <c r="P154" i="1"/>
  <c r="O154" i="1"/>
  <c r="K154" i="1"/>
  <c r="J159" i="1" s="1"/>
  <c r="CX153" i="1"/>
  <c r="CW153" i="1"/>
  <c r="CT153" i="1"/>
  <c r="CS153" i="1"/>
  <c r="CR153" i="1"/>
  <c r="CQ153" i="1"/>
  <c r="CO153" i="1"/>
  <c r="CN153" i="1"/>
  <c r="CL153" i="1"/>
  <c r="CK153" i="1"/>
  <c r="CJ153" i="1"/>
  <c r="CI153" i="1"/>
  <c r="CF153" i="1"/>
  <c r="CB153" i="1"/>
  <c r="CA153" i="1"/>
  <c r="BZ153" i="1"/>
  <c r="BY153" i="1"/>
  <c r="BX153" i="1"/>
  <c r="BW153" i="1"/>
  <c r="BV153" i="1"/>
  <c r="BU153" i="1"/>
  <c r="BT153" i="1"/>
  <c r="BS153" i="1"/>
  <c r="BR153" i="1"/>
  <c r="BO153" i="1"/>
  <c r="BM153" i="1"/>
  <c r="BL153" i="1"/>
  <c r="BK153" i="1"/>
  <c r="BJ153" i="1"/>
  <c r="BI153" i="1"/>
  <c r="BG153" i="1"/>
  <c r="BF153" i="1"/>
  <c r="BE153" i="1"/>
  <c r="BA153" i="1"/>
  <c r="AZ153" i="1"/>
  <c r="AY153" i="1"/>
  <c r="AX153" i="1"/>
  <c r="AS153" i="1"/>
  <c r="AQ153" i="1"/>
  <c r="AP153" i="1"/>
  <c r="AO153" i="1"/>
  <c r="AN153" i="1"/>
  <c r="AM153" i="1"/>
  <c r="AL153" i="1"/>
  <c r="AK153" i="1"/>
  <c r="AJ153" i="1"/>
  <c r="AI153" i="1"/>
  <c r="AH153" i="1"/>
  <c r="AG153" i="1"/>
  <c r="AE153" i="1"/>
  <c r="AD153" i="1"/>
  <c r="AC153" i="1"/>
  <c r="AB153" i="1"/>
  <c r="AA153" i="1"/>
  <c r="Z153" i="1"/>
  <c r="Y153" i="1"/>
  <c r="X153" i="1"/>
  <c r="W153" i="1"/>
  <c r="U153" i="1"/>
  <c r="T153" i="1"/>
  <c r="S153" i="1"/>
  <c r="R153" i="1"/>
  <c r="N153" i="1"/>
  <c r="M153" i="1"/>
  <c r="L153" i="1"/>
  <c r="H153" i="1"/>
  <c r="CV152" i="1"/>
  <c r="CM152" i="1"/>
  <c r="CH152" i="1"/>
  <c r="CE152" i="1"/>
  <c r="BQ152" i="1"/>
  <c r="BN152" i="1"/>
  <c r="BH152" i="1"/>
  <c r="BD152" i="1"/>
  <c r="AF152" i="1"/>
  <c r="V152" i="1"/>
  <c r="Q152" i="1"/>
  <c r="J152" i="1"/>
  <c r="CV151" i="1"/>
  <c r="CM151" i="1"/>
  <c r="CH151" i="1"/>
  <c r="CE151" i="1"/>
  <c r="BQ151" i="1"/>
  <c r="BN151" i="1"/>
  <c r="BH151" i="1"/>
  <c r="BD151" i="1"/>
  <c r="AF151" i="1"/>
  <c r="V151" i="1"/>
  <c r="Q151" i="1"/>
  <c r="CX150" i="1"/>
  <c r="CW150" i="1"/>
  <c r="CT150" i="1"/>
  <c r="CS150" i="1"/>
  <c r="CR150" i="1"/>
  <c r="CQ150" i="1"/>
  <c r="CO150" i="1"/>
  <c r="CN150" i="1"/>
  <c r="CL150" i="1"/>
  <c r="CK150" i="1"/>
  <c r="CJ150" i="1"/>
  <c r="CI150" i="1"/>
  <c r="CG150" i="1"/>
  <c r="CF150" i="1"/>
  <c r="CB150" i="1"/>
  <c r="CA150" i="1"/>
  <c r="BZ150" i="1"/>
  <c r="BY150" i="1"/>
  <c r="BX150" i="1"/>
  <c r="BW150" i="1"/>
  <c r="BV150" i="1"/>
  <c r="BU150" i="1"/>
  <c r="BT150" i="1"/>
  <c r="BS150" i="1"/>
  <c r="BR150" i="1"/>
  <c r="BO150" i="1"/>
  <c r="BM150" i="1"/>
  <c r="BL150" i="1"/>
  <c r="BK150" i="1"/>
  <c r="BJ150" i="1"/>
  <c r="BI150" i="1"/>
  <c r="BG150" i="1"/>
  <c r="BF150" i="1"/>
  <c r="BE150" i="1"/>
  <c r="BB150" i="1"/>
  <c r="BA150" i="1"/>
  <c r="AZ150" i="1"/>
  <c r="AY150" i="1"/>
  <c r="AX150" i="1"/>
  <c r="AU150" i="1"/>
  <c r="AT150" i="1"/>
  <c r="AS150" i="1"/>
  <c r="AQ150" i="1"/>
  <c r="AP150" i="1"/>
  <c r="AO150" i="1"/>
  <c r="AN150" i="1"/>
  <c r="AM150" i="1"/>
  <c r="AL150" i="1"/>
  <c r="AK150" i="1"/>
  <c r="AJ150" i="1"/>
  <c r="AI150" i="1"/>
  <c r="AH150" i="1"/>
  <c r="AG150" i="1"/>
  <c r="AE150" i="1"/>
  <c r="AD150" i="1"/>
  <c r="AC150" i="1"/>
  <c r="AB150" i="1"/>
  <c r="AA150" i="1"/>
  <c r="Z150" i="1"/>
  <c r="Y150" i="1"/>
  <c r="X150" i="1"/>
  <c r="W150" i="1"/>
  <c r="U150" i="1"/>
  <c r="T150" i="1"/>
  <c r="S150" i="1"/>
  <c r="R150" i="1"/>
  <c r="P150" i="1"/>
  <c r="O150" i="1"/>
  <c r="N150" i="1"/>
  <c r="M150" i="1"/>
  <c r="L150" i="1"/>
  <c r="K150" i="1"/>
  <c r="J155" i="1" s="1"/>
  <c r="I150" i="1"/>
  <c r="H150" i="1"/>
  <c r="CV149" i="1"/>
  <c r="CM149" i="1"/>
  <c r="CH149" i="1"/>
  <c r="CE149" i="1"/>
  <c r="BQ149" i="1"/>
  <c r="BN149" i="1"/>
  <c r="BH149" i="1"/>
  <c r="BD149" i="1"/>
  <c r="AF149" i="1"/>
  <c r="V149" i="1"/>
  <c r="Q149" i="1"/>
  <c r="J149" i="1"/>
  <c r="CV148" i="1"/>
  <c r="CM148" i="1"/>
  <c r="CH148" i="1"/>
  <c r="CE148" i="1"/>
  <c r="BQ148" i="1"/>
  <c r="BN148" i="1"/>
  <c r="BH148" i="1"/>
  <c r="BD148" i="1"/>
  <c r="AF148" i="1"/>
  <c r="V148" i="1"/>
  <c r="Q148" i="1"/>
  <c r="J148" i="1"/>
  <c r="CV147" i="1"/>
  <c r="CM147" i="1"/>
  <c r="CH147" i="1"/>
  <c r="CE147" i="1"/>
  <c r="BQ147" i="1"/>
  <c r="BN147" i="1"/>
  <c r="BH147" i="1"/>
  <c r="BD147" i="1"/>
  <c r="AF147" i="1"/>
  <c r="V147" i="1"/>
  <c r="Q147" i="1"/>
  <c r="J147" i="1"/>
  <c r="CX146" i="1"/>
  <c r="CW146" i="1"/>
  <c r="CT146" i="1"/>
  <c r="CS146" i="1"/>
  <c r="CR146" i="1"/>
  <c r="CQ146" i="1"/>
  <c r="CO146" i="1"/>
  <c r="CN146" i="1"/>
  <c r="CL146" i="1"/>
  <c r="CK146" i="1"/>
  <c r="CJ146" i="1"/>
  <c r="CI146" i="1"/>
  <c r="CG146" i="1"/>
  <c r="CF146" i="1"/>
  <c r="CB146" i="1"/>
  <c r="CA146" i="1"/>
  <c r="BZ146" i="1"/>
  <c r="BY146" i="1"/>
  <c r="BX146" i="1"/>
  <c r="BW146" i="1"/>
  <c r="BV146" i="1"/>
  <c r="BU146" i="1"/>
  <c r="BT146" i="1"/>
  <c r="BS146" i="1"/>
  <c r="BR146" i="1"/>
  <c r="BO146" i="1"/>
  <c r="BM146" i="1"/>
  <c r="BL146" i="1"/>
  <c r="BK146" i="1"/>
  <c r="BJ146" i="1"/>
  <c r="BI146" i="1"/>
  <c r="BG146" i="1"/>
  <c r="BF146" i="1"/>
  <c r="BE146" i="1"/>
  <c r="BB146" i="1"/>
  <c r="BA146" i="1"/>
  <c r="AZ146" i="1"/>
  <c r="AY146" i="1"/>
  <c r="AX146" i="1"/>
  <c r="AU146" i="1"/>
  <c r="AT146" i="1"/>
  <c r="AS146" i="1"/>
  <c r="AQ146" i="1"/>
  <c r="AP146" i="1"/>
  <c r="AO146" i="1"/>
  <c r="AN146" i="1"/>
  <c r="AM146" i="1"/>
  <c r="AL146" i="1"/>
  <c r="AK146" i="1"/>
  <c r="AJ146" i="1"/>
  <c r="AI146" i="1"/>
  <c r="AH146" i="1"/>
  <c r="AG146" i="1"/>
  <c r="AE146" i="1"/>
  <c r="AD146" i="1"/>
  <c r="AC146" i="1"/>
  <c r="AB146" i="1"/>
  <c r="AA146" i="1"/>
  <c r="Z146" i="1"/>
  <c r="Y146" i="1"/>
  <c r="X146" i="1"/>
  <c r="W146" i="1"/>
  <c r="U146" i="1"/>
  <c r="T146" i="1"/>
  <c r="S146" i="1"/>
  <c r="R146" i="1"/>
  <c r="P146" i="1"/>
  <c r="O146" i="1"/>
  <c r="N146" i="1"/>
  <c r="M146" i="1"/>
  <c r="L146" i="1"/>
  <c r="K146" i="1"/>
  <c r="J151" i="1" s="1"/>
  <c r="CV144" i="1"/>
  <c r="CM144" i="1"/>
  <c r="CH144" i="1"/>
  <c r="CE144" i="1"/>
  <c r="BQ144" i="1"/>
  <c r="BN144" i="1"/>
  <c r="BH144" i="1"/>
  <c r="BD144" i="1"/>
  <c r="AF144" i="1"/>
  <c r="V144" i="1"/>
  <c r="Q144" i="1"/>
  <c r="CV143" i="1"/>
  <c r="CM143" i="1"/>
  <c r="CH143" i="1"/>
  <c r="CE143" i="1"/>
  <c r="BQ143" i="1"/>
  <c r="BN143" i="1"/>
  <c r="BH143" i="1"/>
  <c r="BD143" i="1"/>
  <c r="AF143" i="1"/>
  <c r="V143" i="1"/>
  <c r="Q143" i="1"/>
  <c r="J143" i="1"/>
  <c r="CV142" i="1"/>
  <c r="CU142" i="1" s="1"/>
  <c r="CM142" i="1"/>
  <c r="CH142" i="1"/>
  <c r="CE142" i="1"/>
  <c r="BQ142" i="1"/>
  <c r="BN142" i="1"/>
  <c r="BH142" i="1"/>
  <c r="BD142" i="1"/>
  <c r="AF142" i="1"/>
  <c r="V142" i="1"/>
  <c r="Q142" i="1"/>
  <c r="CX141" i="1"/>
  <c r="CW141" i="1"/>
  <c r="CT141" i="1"/>
  <c r="CS141" i="1"/>
  <c r="CR141" i="1"/>
  <c r="CQ141" i="1"/>
  <c r="CO141" i="1"/>
  <c r="CN141" i="1"/>
  <c r="CL141" i="1"/>
  <c r="CK141" i="1"/>
  <c r="CJ141" i="1"/>
  <c r="CI141" i="1"/>
  <c r="CG141" i="1"/>
  <c r="CF141" i="1"/>
  <c r="CB141" i="1"/>
  <c r="CA141" i="1"/>
  <c r="BZ141" i="1"/>
  <c r="BY141" i="1"/>
  <c r="BX141" i="1"/>
  <c r="BW141" i="1"/>
  <c r="BV141" i="1"/>
  <c r="BU141" i="1"/>
  <c r="BT141" i="1"/>
  <c r="BS141" i="1"/>
  <c r="BR141" i="1"/>
  <c r="BO141" i="1"/>
  <c r="BM141" i="1"/>
  <c r="BL141" i="1"/>
  <c r="BK141" i="1"/>
  <c r="BJ141" i="1"/>
  <c r="BI141" i="1"/>
  <c r="BG141" i="1"/>
  <c r="BF141" i="1"/>
  <c r="BE141" i="1"/>
  <c r="BB141" i="1"/>
  <c r="BA141" i="1"/>
  <c r="AZ141" i="1"/>
  <c r="AY141" i="1"/>
  <c r="AX141" i="1"/>
  <c r="AU141" i="1"/>
  <c r="AT141" i="1"/>
  <c r="AS141" i="1"/>
  <c r="AQ141" i="1"/>
  <c r="AP141" i="1"/>
  <c r="AO141" i="1"/>
  <c r="AN141" i="1"/>
  <c r="AM141" i="1"/>
  <c r="AL141" i="1"/>
  <c r="AK141" i="1"/>
  <c r="AJ141" i="1"/>
  <c r="AI141" i="1"/>
  <c r="AH141" i="1"/>
  <c r="AG141" i="1"/>
  <c r="AE141" i="1"/>
  <c r="AD141" i="1"/>
  <c r="AC141" i="1"/>
  <c r="AB141" i="1"/>
  <c r="AA141" i="1"/>
  <c r="Z141" i="1"/>
  <c r="Y141" i="1"/>
  <c r="X141" i="1"/>
  <c r="W141" i="1"/>
  <c r="U141" i="1"/>
  <c r="T141" i="1"/>
  <c r="S141" i="1"/>
  <c r="R141" i="1"/>
  <c r="P141" i="1"/>
  <c r="O141" i="1"/>
  <c r="N141" i="1"/>
  <c r="M141" i="1"/>
  <c r="L141" i="1"/>
  <c r="K141" i="1"/>
  <c r="H141" i="1"/>
  <c r="CV140" i="1"/>
  <c r="CM140" i="1"/>
  <c r="CH140" i="1"/>
  <c r="CE140" i="1"/>
  <c r="BQ140" i="1"/>
  <c r="BN140" i="1"/>
  <c r="BH140" i="1"/>
  <c r="BD140" i="1"/>
  <c r="AF140" i="1"/>
  <c r="V140" i="1"/>
  <c r="Q140" i="1"/>
  <c r="J140" i="1"/>
  <c r="CX139" i="1"/>
  <c r="CW139" i="1"/>
  <c r="CT139" i="1"/>
  <c r="CS139" i="1"/>
  <c r="CR139" i="1"/>
  <c r="CQ139" i="1"/>
  <c r="CO139" i="1"/>
  <c r="CN139" i="1"/>
  <c r="CL139" i="1"/>
  <c r="CK139" i="1"/>
  <c r="CJ139" i="1"/>
  <c r="CI139" i="1"/>
  <c r="CG139" i="1"/>
  <c r="CF139" i="1"/>
  <c r="CB139" i="1"/>
  <c r="CA139" i="1"/>
  <c r="BZ139" i="1"/>
  <c r="BY139" i="1"/>
  <c r="BX139" i="1"/>
  <c r="BW139" i="1"/>
  <c r="BV139" i="1"/>
  <c r="BU139" i="1"/>
  <c r="BT139" i="1"/>
  <c r="BS139" i="1"/>
  <c r="BR139" i="1"/>
  <c r="BO139" i="1"/>
  <c r="BM139" i="1"/>
  <c r="BL139" i="1"/>
  <c r="BK139" i="1"/>
  <c r="BJ139" i="1"/>
  <c r="BI139" i="1"/>
  <c r="BG139" i="1"/>
  <c r="BF139" i="1"/>
  <c r="BE139" i="1"/>
  <c r="BB139" i="1"/>
  <c r="BA139" i="1"/>
  <c r="AZ139" i="1"/>
  <c r="AY139" i="1"/>
  <c r="AX139" i="1"/>
  <c r="AU139" i="1"/>
  <c r="AT139" i="1"/>
  <c r="AS139" i="1"/>
  <c r="AQ139" i="1"/>
  <c r="AP139" i="1"/>
  <c r="AO139" i="1"/>
  <c r="AN139" i="1"/>
  <c r="AM139" i="1"/>
  <c r="AL139" i="1"/>
  <c r="AK139" i="1"/>
  <c r="AJ139" i="1"/>
  <c r="AI139" i="1"/>
  <c r="AH139" i="1"/>
  <c r="AG139" i="1"/>
  <c r="AE139" i="1"/>
  <c r="AD139" i="1"/>
  <c r="AC139" i="1"/>
  <c r="AB139" i="1"/>
  <c r="AA139" i="1"/>
  <c r="Z139" i="1"/>
  <c r="Y139" i="1"/>
  <c r="X139" i="1"/>
  <c r="W139" i="1"/>
  <c r="U139" i="1"/>
  <c r="T139" i="1"/>
  <c r="S139" i="1"/>
  <c r="R139" i="1"/>
  <c r="P139" i="1"/>
  <c r="O139" i="1"/>
  <c r="N139" i="1"/>
  <c r="M139" i="1"/>
  <c r="L139" i="1"/>
  <c r="J144" i="1" s="1"/>
  <c r="K139" i="1"/>
  <c r="H139" i="1"/>
  <c r="CV138" i="1"/>
  <c r="CM138" i="1"/>
  <c r="CH138" i="1"/>
  <c r="CE138" i="1"/>
  <c r="BQ138" i="1"/>
  <c r="BN138" i="1"/>
  <c r="BH138" i="1"/>
  <c r="BD138" i="1"/>
  <c r="AF138" i="1"/>
  <c r="V138" i="1"/>
  <c r="Q138" i="1"/>
  <c r="CX137" i="1"/>
  <c r="CW137" i="1"/>
  <c r="CT137" i="1"/>
  <c r="CS137" i="1"/>
  <c r="CR137" i="1"/>
  <c r="CQ137" i="1"/>
  <c r="CO137" i="1"/>
  <c r="CN137" i="1"/>
  <c r="CL137" i="1"/>
  <c r="CK137" i="1"/>
  <c r="CJ137" i="1"/>
  <c r="CI137" i="1"/>
  <c r="CG137" i="1"/>
  <c r="CF137" i="1"/>
  <c r="CB137" i="1"/>
  <c r="CA137" i="1"/>
  <c r="BZ137" i="1"/>
  <c r="BY137" i="1"/>
  <c r="BX137" i="1"/>
  <c r="BW137" i="1"/>
  <c r="BV137" i="1"/>
  <c r="BU137" i="1"/>
  <c r="BT137" i="1"/>
  <c r="BS137" i="1"/>
  <c r="BR137" i="1"/>
  <c r="BO137" i="1"/>
  <c r="BM137" i="1"/>
  <c r="BL137" i="1"/>
  <c r="BK137" i="1"/>
  <c r="BJ137" i="1"/>
  <c r="BI137" i="1"/>
  <c r="BG137" i="1"/>
  <c r="BF137" i="1"/>
  <c r="BE137" i="1"/>
  <c r="BB137" i="1"/>
  <c r="BA137" i="1"/>
  <c r="AZ137" i="1"/>
  <c r="AY137" i="1"/>
  <c r="AX137" i="1"/>
  <c r="AU137" i="1"/>
  <c r="AT137" i="1"/>
  <c r="AS137" i="1"/>
  <c r="AQ137" i="1"/>
  <c r="AP137" i="1"/>
  <c r="AO137" i="1"/>
  <c r="AN137" i="1"/>
  <c r="AM137" i="1"/>
  <c r="AL137" i="1"/>
  <c r="AK137" i="1"/>
  <c r="AJ137" i="1"/>
  <c r="AI137" i="1"/>
  <c r="AH137" i="1"/>
  <c r="AG137" i="1"/>
  <c r="AE137" i="1"/>
  <c r="AD137" i="1"/>
  <c r="AC137" i="1"/>
  <c r="AB137" i="1"/>
  <c r="AA137" i="1"/>
  <c r="Z137" i="1"/>
  <c r="Y137" i="1"/>
  <c r="X137" i="1"/>
  <c r="W137" i="1"/>
  <c r="U137" i="1"/>
  <c r="T137" i="1"/>
  <c r="S137" i="1"/>
  <c r="R137" i="1"/>
  <c r="P137" i="1"/>
  <c r="O137" i="1"/>
  <c r="N137" i="1"/>
  <c r="M137" i="1"/>
  <c r="L137" i="1"/>
  <c r="K137" i="1"/>
  <c r="J142" i="1" s="1"/>
  <c r="CV136" i="1"/>
  <c r="CM136" i="1"/>
  <c r="CH136" i="1"/>
  <c r="CE136" i="1"/>
  <c r="BQ136" i="1"/>
  <c r="BN136" i="1"/>
  <c r="BH136" i="1"/>
  <c r="BD136" i="1"/>
  <c r="AU136" i="1"/>
  <c r="AU133" i="1" s="1"/>
  <c r="V136" i="1"/>
  <c r="Q136" i="1"/>
  <c r="J136" i="1"/>
  <c r="I133" i="1"/>
  <c r="H133" i="1"/>
  <c r="CV135" i="1"/>
  <c r="CM135" i="1"/>
  <c r="CH135" i="1"/>
  <c r="CE135" i="1"/>
  <c r="BQ135" i="1"/>
  <c r="BN135" i="1"/>
  <c r="BH135" i="1"/>
  <c r="BD135" i="1"/>
  <c r="AF135" i="1"/>
  <c r="V135" i="1"/>
  <c r="Q135" i="1"/>
  <c r="J135" i="1"/>
  <c r="CV134" i="1"/>
  <c r="CM134" i="1"/>
  <c r="CH134" i="1"/>
  <c r="CE134" i="1"/>
  <c r="BQ134" i="1"/>
  <c r="BN134" i="1"/>
  <c r="BH134" i="1"/>
  <c r="BD134" i="1"/>
  <c r="AF134" i="1"/>
  <c r="V134" i="1"/>
  <c r="Q134" i="1"/>
  <c r="CX133" i="1"/>
  <c r="CW133" i="1"/>
  <c r="CT133" i="1"/>
  <c r="CS133" i="1"/>
  <c r="CR133" i="1"/>
  <c r="CQ133" i="1"/>
  <c r="CO133" i="1"/>
  <c r="CN133" i="1"/>
  <c r="CL133" i="1"/>
  <c r="CK133" i="1"/>
  <c r="CJ133" i="1"/>
  <c r="CI133" i="1"/>
  <c r="CF133" i="1"/>
  <c r="CB133" i="1"/>
  <c r="CA133" i="1"/>
  <c r="BZ133" i="1"/>
  <c r="BY133" i="1"/>
  <c r="BX133" i="1"/>
  <c r="BW133" i="1"/>
  <c r="BV133" i="1"/>
  <c r="BU133" i="1"/>
  <c r="BT133" i="1"/>
  <c r="BS133" i="1"/>
  <c r="BR133" i="1"/>
  <c r="BO133" i="1"/>
  <c r="BM133" i="1"/>
  <c r="BL133" i="1"/>
  <c r="BK133" i="1"/>
  <c r="BJ133" i="1"/>
  <c r="BI133" i="1"/>
  <c r="BG133" i="1"/>
  <c r="BF133" i="1"/>
  <c r="BE133" i="1"/>
  <c r="BB133" i="1"/>
  <c r="BA133" i="1"/>
  <c r="AZ133" i="1"/>
  <c r="AY133" i="1"/>
  <c r="AX133" i="1"/>
  <c r="AT133" i="1"/>
  <c r="AS133" i="1"/>
  <c r="AQ133" i="1"/>
  <c r="AP133" i="1"/>
  <c r="AO133" i="1"/>
  <c r="AN133" i="1"/>
  <c r="AM133" i="1"/>
  <c r="AL133" i="1"/>
  <c r="AK133" i="1"/>
  <c r="AJ133" i="1"/>
  <c r="AI133" i="1"/>
  <c r="AH133" i="1"/>
  <c r="AG133" i="1"/>
  <c r="AE133" i="1"/>
  <c r="AD133" i="1"/>
  <c r="AC133" i="1"/>
  <c r="AB133" i="1"/>
  <c r="AA133" i="1"/>
  <c r="Z133" i="1"/>
  <c r="Y133" i="1"/>
  <c r="X133" i="1"/>
  <c r="W133" i="1"/>
  <c r="U133" i="1"/>
  <c r="T133" i="1"/>
  <c r="S133" i="1"/>
  <c r="R133" i="1"/>
  <c r="P133" i="1"/>
  <c r="O133" i="1"/>
  <c r="N133" i="1"/>
  <c r="M133" i="1"/>
  <c r="L133" i="1"/>
  <c r="K133" i="1"/>
  <c r="J138" i="1" s="1"/>
  <c r="CV132" i="1"/>
  <c r="CM132" i="1"/>
  <c r="CH132" i="1"/>
  <c r="CE132" i="1"/>
  <c r="BQ132" i="1"/>
  <c r="BN132" i="1"/>
  <c r="BH132" i="1"/>
  <c r="BD132" i="1"/>
  <c r="AF132" i="1"/>
  <c r="V132" i="1"/>
  <c r="Q132" i="1"/>
  <c r="J132" i="1"/>
  <c r="CV131" i="1"/>
  <c r="CM131" i="1"/>
  <c r="CH131" i="1"/>
  <c r="CG131" i="1"/>
  <c r="BQ131" i="1"/>
  <c r="BN131" i="1"/>
  <c r="BH131" i="1"/>
  <c r="BD131" i="1"/>
  <c r="AN131" i="1"/>
  <c r="AL131" i="1"/>
  <c r="AK131" i="1"/>
  <c r="AJ131" i="1"/>
  <c r="V131" i="1"/>
  <c r="Q131" i="1"/>
  <c r="J131" i="1"/>
  <c r="CV130" i="1"/>
  <c r="CM130" i="1"/>
  <c r="CH130" i="1"/>
  <c r="CE130" i="1"/>
  <c r="BQ130" i="1"/>
  <c r="BN130" i="1"/>
  <c r="BH130" i="1"/>
  <c r="BD130" i="1"/>
  <c r="AF130" i="1"/>
  <c r="V130" i="1"/>
  <c r="Q130" i="1"/>
  <c r="CX129" i="1"/>
  <c r="CW129" i="1"/>
  <c r="CT129" i="1"/>
  <c r="CS129" i="1"/>
  <c r="CR129" i="1"/>
  <c r="CQ129" i="1"/>
  <c r="CO129" i="1"/>
  <c r="CN129" i="1"/>
  <c r="CL129" i="1"/>
  <c r="CK129" i="1"/>
  <c r="CJ129" i="1"/>
  <c r="CI129" i="1"/>
  <c r="CF129" i="1"/>
  <c r="CB129" i="1"/>
  <c r="CA129" i="1"/>
  <c r="BZ129" i="1"/>
  <c r="BY129" i="1"/>
  <c r="BX129" i="1"/>
  <c r="BW129" i="1"/>
  <c r="BV129" i="1"/>
  <c r="BU129" i="1"/>
  <c r="BT129" i="1"/>
  <c r="BS129" i="1"/>
  <c r="BR129" i="1"/>
  <c r="BO129" i="1"/>
  <c r="BM129" i="1"/>
  <c r="BL129" i="1"/>
  <c r="BK129" i="1"/>
  <c r="BJ129" i="1"/>
  <c r="BI129" i="1"/>
  <c r="BG129" i="1"/>
  <c r="BF129" i="1"/>
  <c r="BE129" i="1"/>
  <c r="BB129" i="1"/>
  <c r="BA129" i="1"/>
  <c r="AZ129" i="1"/>
  <c r="AY129" i="1"/>
  <c r="AX129" i="1"/>
  <c r="AU129" i="1"/>
  <c r="AT129" i="1"/>
  <c r="AS129" i="1"/>
  <c r="AQ129" i="1"/>
  <c r="AP129" i="1"/>
  <c r="AO129" i="1"/>
  <c r="AM129" i="1"/>
  <c r="AI129" i="1"/>
  <c r="AH129" i="1"/>
  <c r="AG129" i="1"/>
  <c r="AE129" i="1"/>
  <c r="AD129" i="1"/>
  <c r="AC129" i="1"/>
  <c r="AB129" i="1"/>
  <c r="AA129" i="1"/>
  <c r="Z129" i="1"/>
  <c r="Y129" i="1"/>
  <c r="X129" i="1"/>
  <c r="W129" i="1"/>
  <c r="U129" i="1"/>
  <c r="T129" i="1"/>
  <c r="S129" i="1"/>
  <c r="R129" i="1"/>
  <c r="O129" i="1"/>
  <c r="N129" i="1"/>
  <c r="M129" i="1"/>
  <c r="L129" i="1"/>
  <c r="J134" i="1" s="1"/>
  <c r="K129" i="1"/>
  <c r="CV128" i="1"/>
  <c r="CM128" i="1"/>
  <c r="CH128" i="1"/>
  <c r="CE128" i="1"/>
  <c r="BQ128" i="1"/>
  <c r="BN128" i="1"/>
  <c r="BH128" i="1"/>
  <c r="BD128" i="1"/>
  <c r="AF128" i="1"/>
  <c r="V128" i="1"/>
  <c r="Q128" i="1"/>
  <c r="J128" i="1"/>
  <c r="CV127" i="1"/>
  <c r="CM127" i="1"/>
  <c r="CH127" i="1"/>
  <c r="CE127" i="1"/>
  <c r="BQ127" i="1"/>
  <c r="BN127" i="1"/>
  <c r="BH127" i="1"/>
  <c r="BD127" i="1"/>
  <c r="AF127" i="1"/>
  <c r="V127" i="1"/>
  <c r="Q127" i="1"/>
  <c r="J127" i="1"/>
  <c r="CV126" i="1"/>
  <c r="CM126" i="1"/>
  <c r="CH126" i="1"/>
  <c r="CE126" i="1"/>
  <c r="BQ126" i="1"/>
  <c r="BN126" i="1"/>
  <c r="BH126" i="1"/>
  <c r="BD126" i="1"/>
  <c r="AF126" i="1"/>
  <c r="V126" i="1"/>
  <c r="Q126" i="1"/>
  <c r="CX125" i="1"/>
  <c r="CW125" i="1"/>
  <c r="CT125" i="1"/>
  <c r="CS125" i="1"/>
  <c r="CR125" i="1"/>
  <c r="CQ125" i="1"/>
  <c r="CO125" i="1"/>
  <c r="CN125" i="1"/>
  <c r="CL125" i="1"/>
  <c r="CK125" i="1"/>
  <c r="CJ125" i="1"/>
  <c r="CI125" i="1"/>
  <c r="CG125" i="1"/>
  <c r="CF125" i="1"/>
  <c r="CB125" i="1"/>
  <c r="CA125" i="1"/>
  <c r="BZ125" i="1"/>
  <c r="BY125" i="1"/>
  <c r="BX125" i="1"/>
  <c r="BW125" i="1"/>
  <c r="BV125" i="1"/>
  <c r="BU125" i="1"/>
  <c r="BT125" i="1"/>
  <c r="BS125" i="1"/>
  <c r="BR125" i="1"/>
  <c r="BO125" i="1"/>
  <c r="BM125" i="1"/>
  <c r="BL125" i="1"/>
  <c r="BK125" i="1"/>
  <c r="BJ125" i="1"/>
  <c r="BI125" i="1"/>
  <c r="BG125" i="1"/>
  <c r="BF125" i="1"/>
  <c r="BE125" i="1"/>
  <c r="BB125" i="1"/>
  <c r="BA125" i="1"/>
  <c r="AZ125" i="1"/>
  <c r="AY125" i="1"/>
  <c r="AX125" i="1"/>
  <c r="AU125" i="1"/>
  <c r="AT125" i="1"/>
  <c r="AS125" i="1"/>
  <c r="AQ125" i="1"/>
  <c r="AP125" i="1"/>
  <c r="AO125" i="1"/>
  <c r="AN125" i="1"/>
  <c r="AM125" i="1"/>
  <c r="AL125" i="1"/>
  <c r="AK125" i="1"/>
  <c r="AJ125" i="1"/>
  <c r="AI125" i="1"/>
  <c r="AH125" i="1"/>
  <c r="AG125" i="1"/>
  <c r="AE125" i="1"/>
  <c r="AD125" i="1"/>
  <c r="AC125" i="1"/>
  <c r="AB125" i="1"/>
  <c r="AA125" i="1"/>
  <c r="Z125" i="1"/>
  <c r="Y125" i="1"/>
  <c r="X125" i="1"/>
  <c r="W125" i="1"/>
  <c r="U125" i="1"/>
  <c r="T125" i="1"/>
  <c r="S125" i="1"/>
  <c r="R125" i="1"/>
  <c r="P125" i="1"/>
  <c r="O125" i="1"/>
  <c r="N125" i="1"/>
  <c r="M125" i="1"/>
  <c r="L125" i="1"/>
  <c r="K125" i="1"/>
  <c r="J130" i="1" s="1"/>
  <c r="CV123" i="1"/>
  <c r="CM123" i="1"/>
  <c r="CH123" i="1"/>
  <c r="CE123" i="1"/>
  <c r="BQ123" i="1"/>
  <c r="BN123" i="1"/>
  <c r="BH123" i="1"/>
  <c r="BD123" i="1"/>
  <c r="V123" i="1"/>
  <c r="Q123" i="1"/>
  <c r="J123" i="1"/>
  <c r="CV120" i="1"/>
  <c r="CM120" i="1"/>
  <c r="CH120" i="1"/>
  <c r="CE120" i="1"/>
  <c r="BQ120" i="1"/>
  <c r="BN120" i="1"/>
  <c r="BH120" i="1"/>
  <c r="BD120" i="1"/>
  <c r="AF120" i="1"/>
  <c r="V120" i="1"/>
  <c r="Q120" i="1"/>
  <c r="J120" i="1"/>
  <c r="CX119" i="1"/>
  <c r="CW119" i="1"/>
  <c r="CT119" i="1"/>
  <c r="CS119" i="1"/>
  <c r="CR119" i="1"/>
  <c r="CQ119" i="1"/>
  <c r="CO119" i="1"/>
  <c r="CN119" i="1"/>
  <c r="CL119" i="1"/>
  <c r="CK119" i="1"/>
  <c r="CJ119" i="1"/>
  <c r="CI119" i="1"/>
  <c r="CG119" i="1"/>
  <c r="CF119" i="1"/>
  <c r="CB119" i="1"/>
  <c r="CA119" i="1"/>
  <c r="BZ119" i="1"/>
  <c r="BY119" i="1"/>
  <c r="BX119" i="1"/>
  <c r="BW119" i="1"/>
  <c r="BV119" i="1"/>
  <c r="BU119" i="1"/>
  <c r="BT119" i="1"/>
  <c r="BS119" i="1"/>
  <c r="BR119" i="1"/>
  <c r="BO119" i="1"/>
  <c r="BM119" i="1"/>
  <c r="BL119" i="1"/>
  <c r="BK119" i="1"/>
  <c r="BJ119" i="1"/>
  <c r="BI119" i="1"/>
  <c r="BG119" i="1"/>
  <c r="BF119" i="1"/>
  <c r="BE119" i="1"/>
  <c r="BB119" i="1"/>
  <c r="BA119" i="1"/>
  <c r="AZ119" i="1"/>
  <c r="AY119" i="1"/>
  <c r="AX119" i="1"/>
  <c r="AU119" i="1"/>
  <c r="AT119" i="1"/>
  <c r="AS119" i="1"/>
  <c r="AQ119" i="1"/>
  <c r="AP119" i="1"/>
  <c r="AO119" i="1"/>
  <c r="AN119" i="1"/>
  <c r="AM119" i="1"/>
  <c r="AL119" i="1"/>
  <c r="AK119" i="1"/>
  <c r="AJ119" i="1"/>
  <c r="AI119" i="1"/>
  <c r="AH119" i="1"/>
  <c r="AG119" i="1"/>
  <c r="AE119" i="1"/>
  <c r="AD119" i="1"/>
  <c r="AC119" i="1"/>
  <c r="AB119" i="1"/>
  <c r="AA119" i="1"/>
  <c r="Z119" i="1"/>
  <c r="Y119" i="1"/>
  <c r="X119" i="1"/>
  <c r="W119" i="1"/>
  <c r="U119" i="1"/>
  <c r="T119" i="1"/>
  <c r="S119" i="1"/>
  <c r="R119" i="1"/>
  <c r="P119" i="1"/>
  <c r="O119" i="1"/>
  <c r="N119" i="1"/>
  <c r="M119" i="1"/>
  <c r="L119" i="1"/>
  <c r="K119" i="1"/>
  <c r="I119" i="1"/>
  <c r="H119" i="1"/>
  <c r="CV117" i="1"/>
  <c r="CM117" i="1"/>
  <c r="CH117" i="1"/>
  <c r="CE117" i="1"/>
  <c r="BQ117" i="1"/>
  <c r="BN117" i="1"/>
  <c r="BH117" i="1"/>
  <c r="AF117" i="1"/>
  <c r="V117" i="1"/>
  <c r="Q117" i="1"/>
  <c r="CV114" i="1"/>
  <c r="CM114" i="1"/>
  <c r="CH114" i="1"/>
  <c r="CE114" i="1"/>
  <c r="BQ114" i="1"/>
  <c r="BN114" i="1"/>
  <c r="BH114" i="1"/>
  <c r="BD114" i="1"/>
  <c r="AF114" i="1"/>
  <c r="V114" i="1"/>
  <c r="Q114" i="1"/>
  <c r="J114" i="1"/>
  <c r="CV111" i="1"/>
  <c r="CM111" i="1"/>
  <c r="CH111" i="1"/>
  <c r="CE111" i="1"/>
  <c r="BQ111" i="1"/>
  <c r="BN111" i="1"/>
  <c r="BH111" i="1"/>
  <c r="BD111" i="1"/>
  <c r="AF111" i="1"/>
  <c r="V111" i="1"/>
  <c r="Q111" i="1"/>
  <c r="J111" i="1"/>
  <c r="CX110" i="1"/>
  <c r="CW110" i="1"/>
  <c r="CT110" i="1"/>
  <c r="CS110" i="1"/>
  <c r="CR110" i="1"/>
  <c r="CQ110" i="1"/>
  <c r="CO110" i="1"/>
  <c r="CN110" i="1"/>
  <c r="CL110" i="1"/>
  <c r="CK110" i="1"/>
  <c r="CJ110" i="1"/>
  <c r="CI110" i="1"/>
  <c r="CG110" i="1"/>
  <c r="CF110" i="1"/>
  <c r="CB110" i="1"/>
  <c r="CA110" i="1"/>
  <c r="BZ110" i="1"/>
  <c r="BY110" i="1"/>
  <c r="BX110" i="1"/>
  <c r="BW110" i="1"/>
  <c r="BV110" i="1"/>
  <c r="BU110" i="1"/>
  <c r="BT110" i="1"/>
  <c r="BS110" i="1"/>
  <c r="BR110" i="1"/>
  <c r="BO110" i="1"/>
  <c r="BM110" i="1"/>
  <c r="BL110" i="1"/>
  <c r="BK110" i="1"/>
  <c r="BJ110" i="1"/>
  <c r="BI110" i="1"/>
  <c r="BG110" i="1"/>
  <c r="BF110" i="1"/>
  <c r="BE110" i="1"/>
  <c r="BB110" i="1"/>
  <c r="BA110" i="1"/>
  <c r="AZ110" i="1"/>
  <c r="AY110" i="1"/>
  <c r="AX110" i="1"/>
  <c r="AU110" i="1"/>
  <c r="AT110" i="1"/>
  <c r="AS110" i="1"/>
  <c r="AQ110" i="1"/>
  <c r="AP110" i="1"/>
  <c r="AO110" i="1"/>
  <c r="AN110" i="1"/>
  <c r="AM110" i="1"/>
  <c r="AL110" i="1"/>
  <c r="AK110" i="1"/>
  <c r="AJ110" i="1"/>
  <c r="AI110" i="1"/>
  <c r="AH110" i="1"/>
  <c r="AG110" i="1"/>
  <c r="AE110" i="1"/>
  <c r="AD110" i="1"/>
  <c r="AC110" i="1"/>
  <c r="AB110" i="1"/>
  <c r="AA110" i="1"/>
  <c r="Z110" i="1"/>
  <c r="Y110" i="1"/>
  <c r="X110" i="1"/>
  <c r="W110" i="1"/>
  <c r="U110" i="1"/>
  <c r="T110" i="1"/>
  <c r="S110" i="1"/>
  <c r="R110" i="1"/>
  <c r="P110" i="1"/>
  <c r="O110" i="1"/>
  <c r="N110" i="1"/>
  <c r="M110" i="1"/>
  <c r="L110" i="1"/>
  <c r="K110" i="1"/>
  <c r="H110" i="1"/>
  <c r="CV109" i="1"/>
  <c r="CU109" i="1" s="1"/>
  <c r="CM109" i="1"/>
  <c r="CH109" i="1"/>
  <c r="CE109" i="1"/>
  <c r="BQ109" i="1"/>
  <c r="BN109" i="1"/>
  <c r="BH109" i="1"/>
  <c r="BD109" i="1"/>
  <c r="AF109" i="1"/>
  <c r="V109" i="1"/>
  <c r="Q109" i="1"/>
  <c r="CX108" i="1"/>
  <c r="CW108" i="1"/>
  <c r="CT108" i="1"/>
  <c r="CS108" i="1"/>
  <c r="CR108" i="1"/>
  <c r="CQ108" i="1"/>
  <c r="CO108" i="1"/>
  <c r="CN108" i="1"/>
  <c r="CL108" i="1"/>
  <c r="CK108" i="1"/>
  <c r="CJ108" i="1"/>
  <c r="CI108" i="1"/>
  <c r="CG108" i="1"/>
  <c r="CF108" i="1"/>
  <c r="CB108" i="1"/>
  <c r="CA108" i="1"/>
  <c r="BZ108" i="1"/>
  <c r="BY108" i="1"/>
  <c r="BX108" i="1"/>
  <c r="BW108" i="1"/>
  <c r="BV108" i="1"/>
  <c r="BU108" i="1"/>
  <c r="BT108" i="1"/>
  <c r="BS108" i="1"/>
  <c r="BR108" i="1"/>
  <c r="BO108" i="1"/>
  <c r="BM108" i="1"/>
  <c r="BL108" i="1"/>
  <c r="BK108" i="1"/>
  <c r="BJ108" i="1"/>
  <c r="BI108" i="1"/>
  <c r="BG108" i="1"/>
  <c r="BF108" i="1"/>
  <c r="BE108" i="1"/>
  <c r="BB108" i="1"/>
  <c r="BA108" i="1"/>
  <c r="AZ108" i="1"/>
  <c r="AY108" i="1"/>
  <c r="AX108" i="1"/>
  <c r="AU108" i="1"/>
  <c r="AT108" i="1"/>
  <c r="AS108" i="1"/>
  <c r="AQ108" i="1"/>
  <c r="AP108" i="1"/>
  <c r="AO108" i="1"/>
  <c r="AN108" i="1"/>
  <c r="AM108" i="1"/>
  <c r="AL108" i="1"/>
  <c r="AK108" i="1"/>
  <c r="AJ108" i="1"/>
  <c r="AI108" i="1"/>
  <c r="AH108" i="1"/>
  <c r="AG108" i="1"/>
  <c r="AE108" i="1"/>
  <c r="AD108" i="1"/>
  <c r="AC108" i="1"/>
  <c r="AB108" i="1"/>
  <c r="AA108" i="1"/>
  <c r="Z108" i="1"/>
  <c r="Y108" i="1"/>
  <c r="X108" i="1"/>
  <c r="W108" i="1"/>
  <c r="U108" i="1"/>
  <c r="T108" i="1"/>
  <c r="S108" i="1"/>
  <c r="R108" i="1"/>
  <c r="P108" i="1"/>
  <c r="O108" i="1"/>
  <c r="N108" i="1"/>
  <c r="M108" i="1"/>
  <c r="L108" i="1"/>
  <c r="K108" i="1"/>
  <c r="I108" i="1"/>
  <c r="H108" i="1"/>
  <c r="CV106" i="1"/>
  <c r="CM106" i="1"/>
  <c r="CH106" i="1"/>
  <c r="CE106" i="1"/>
  <c r="BQ106" i="1"/>
  <c r="BN106" i="1"/>
  <c r="BH106" i="1"/>
  <c r="BD106" i="1"/>
  <c r="AF106" i="1"/>
  <c r="V106" i="1"/>
  <c r="Q106" i="1"/>
  <c r="CV105" i="1"/>
  <c r="CM105" i="1"/>
  <c r="CH105" i="1"/>
  <c r="CE105" i="1"/>
  <c r="BQ105" i="1"/>
  <c r="BN105" i="1"/>
  <c r="BH105" i="1"/>
  <c r="BD105" i="1"/>
  <c r="AF105" i="1"/>
  <c r="V105" i="1"/>
  <c r="Q105" i="1"/>
  <c r="CX104" i="1"/>
  <c r="CW104" i="1"/>
  <c r="CT104" i="1"/>
  <c r="CS104" i="1"/>
  <c r="CR104" i="1"/>
  <c r="CQ104" i="1"/>
  <c r="CO104" i="1"/>
  <c r="CN104" i="1"/>
  <c r="CL104" i="1"/>
  <c r="CK104" i="1"/>
  <c r="CJ104" i="1"/>
  <c r="CI104" i="1"/>
  <c r="CG104" i="1"/>
  <c r="CF104" i="1"/>
  <c r="CB104" i="1"/>
  <c r="CA104" i="1"/>
  <c r="BZ104" i="1"/>
  <c r="BY104" i="1"/>
  <c r="BX104" i="1"/>
  <c r="BW104" i="1"/>
  <c r="BV104" i="1"/>
  <c r="BU104" i="1"/>
  <c r="BT104" i="1"/>
  <c r="BS104" i="1"/>
  <c r="BR104" i="1"/>
  <c r="BO104" i="1"/>
  <c r="BM104" i="1"/>
  <c r="BL104" i="1"/>
  <c r="BK104" i="1"/>
  <c r="BJ104" i="1"/>
  <c r="BI104" i="1"/>
  <c r="BG104" i="1"/>
  <c r="BF104" i="1"/>
  <c r="BE104" i="1"/>
  <c r="BB104" i="1"/>
  <c r="BA104" i="1"/>
  <c r="AZ104" i="1"/>
  <c r="AY104" i="1"/>
  <c r="AX104" i="1"/>
  <c r="AU104" i="1"/>
  <c r="AT104" i="1"/>
  <c r="AS104" i="1"/>
  <c r="AQ104" i="1"/>
  <c r="AP104" i="1"/>
  <c r="AO104" i="1"/>
  <c r="AN104" i="1"/>
  <c r="AM104" i="1"/>
  <c r="AL104" i="1"/>
  <c r="AK104" i="1"/>
  <c r="AJ104" i="1"/>
  <c r="AI104" i="1"/>
  <c r="AH104" i="1"/>
  <c r="AG104" i="1"/>
  <c r="AE104" i="1"/>
  <c r="AD104" i="1"/>
  <c r="AC104" i="1"/>
  <c r="AB104" i="1"/>
  <c r="AA104" i="1"/>
  <c r="Z104" i="1"/>
  <c r="Y104" i="1"/>
  <c r="X104" i="1"/>
  <c r="W104" i="1"/>
  <c r="U104" i="1"/>
  <c r="T104" i="1"/>
  <c r="S104" i="1"/>
  <c r="R104" i="1"/>
  <c r="P104" i="1"/>
  <c r="O104" i="1"/>
  <c r="N104" i="1"/>
  <c r="M104" i="1"/>
  <c r="L104" i="1"/>
  <c r="K104" i="1"/>
  <c r="J109" i="1" s="1"/>
  <c r="CV102" i="1"/>
  <c r="CM102" i="1"/>
  <c r="CH102" i="1"/>
  <c r="CE102" i="1"/>
  <c r="BQ102" i="1"/>
  <c r="BN102" i="1"/>
  <c r="BH102" i="1"/>
  <c r="BD102" i="1"/>
  <c r="AF102" i="1"/>
  <c r="V102" i="1"/>
  <c r="Q102" i="1"/>
  <c r="J102" i="1"/>
  <c r="CX101" i="1"/>
  <c r="CW101" i="1"/>
  <c r="CT101" i="1"/>
  <c r="CS101" i="1"/>
  <c r="CR101" i="1"/>
  <c r="CQ101" i="1"/>
  <c r="CO101" i="1"/>
  <c r="CN101" i="1"/>
  <c r="CL101" i="1"/>
  <c r="CK101" i="1"/>
  <c r="CJ101" i="1"/>
  <c r="CI101" i="1"/>
  <c r="CG101" i="1"/>
  <c r="CF101" i="1"/>
  <c r="CB101" i="1"/>
  <c r="CA101" i="1"/>
  <c r="BZ101" i="1"/>
  <c r="BY101" i="1"/>
  <c r="BX101" i="1"/>
  <c r="BW101" i="1"/>
  <c r="BV101" i="1"/>
  <c r="BU101" i="1"/>
  <c r="BT101" i="1"/>
  <c r="BS101" i="1"/>
  <c r="BR101" i="1"/>
  <c r="BO101" i="1"/>
  <c r="BM101" i="1"/>
  <c r="BL101" i="1"/>
  <c r="BK101" i="1"/>
  <c r="BJ101" i="1"/>
  <c r="BI101" i="1"/>
  <c r="BG101" i="1"/>
  <c r="BF101" i="1"/>
  <c r="BE101" i="1"/>
  <c r="BB101" i="1"/>
  <c r="BA101" i="1"/>
  <c r="AZ101" i="1"/>
  <c r="AY101" i="1"/>
  <c r="AX101" i="1"/>
  <c r="AU101" i="1"/>
  <c r="AT101" i="1"/>
  <c r="AS101" i="1"/>
  <c r="AQ101" i="1"/>
  <c r="AP101" i="1"/>
  <c r="AO101" i="1"/>
  <c r="AN101" i="1"/>
  <c r="AM101" i="1"/>
  <c r="AL101" i="1"/>
  <c r="AK101" i="1"/>
  <c r="AJ101" i="1"/>
  <c r="AI101" i="1"/>
  <c r="AH101" i="1"/>
  <c r="AG101" i="1"/>
  <c r="AE101" i="1"/>
  <c r="AD101" i="1"/>
  <c r="AC101" i="1"/>
  <c r="AB101" i="1"/>
  <c r="AA101" i="1"/>
  <c r="Z101" i="1"/>
  <c r="Y101" i="1"/>
  <c r="X101" i="1"/>
  <c r="W101" i="1"/>
  <c r="U101" i="1"/>
  <c r="T101" i="1"/>
  <c r="S101" i="1"/>
  <c r="R101" i="1"/>
  <c r="P101" i="1"/>
  <c r="O101" i="1"/>
  <c r="N101" i="1"/>
  <c r="M101" i="1"/>
  <c r="L101" i="1"/>
  <c r="K101" i="1"/>
  <c r="J106" i="1" s="1"/>
  <c r="I101" i="1"/>
  <c r="H101" i="1"/>
  <c r="CV99" i="1"/>
  <c r="CM99" i="1"/>
  <c r="CH99" i="1"/>
  <c r="CE99" i="1"/>
  <c r="BQ99" i="1"/>
  <c r="BN99" i="1"/>
  <c r="BH99" i="1"/>
  <c r="BD99" i="1"/>
  <c r="AF99" i="1"/>
  <c r="V99" i="1"/>
  <c r="Q99" i="1"/>
  <c r="J99" i="1"/>
  <c r="CV98" i="1"/>
  <c r="CM98" i="1"/>
  <c r="CH98" i="1"/>
  <c r="CE98" i="1"/>
  <c r="BQ98" i="1"/>
  <c r="BN98" i="1"/>
  <c r="BH98" i="1"/>
  <c r="BD98" i="1"/>
  <c r="AF98" i="1"/>
  <c r="V98" i="1"/>
  <c r="Q98" i="1"/>
  <c r="J98" i="1"/>
  <c r="CV97" i="1"/>
  <c r="CM97" i="1"/>
  <c r="CH97" i="1"/>
  <c r="CE97" i="1"/>
  <c r="BQ97" i="1"/>
  <c r="BN97" i="1"/>
  <c r="BH97" i="1"/>
  <c r="BD97" i="1"/>
  <c r="AF97" i="1"/>
  <c r="V97" i="1"/>
  <c r="Q97" i="1"/>
  <c r="CV96" i="1"/>
  <c r="CM96" i="1"/>
  <c r="CH96" i="1"/>
  <c r="CE96" i="1"/>
  <c r="BQ96" i="1"/>
  <c r="BN96" i="1"/>
  <c r="BH96" i="1"/>
  <c r="BD96" i="1"/>
  <c r="AF96" i="1"/>
  <c r="V96" i="1"/>
  <c r="Q96" i="1"/>
  <c r="J96" i="1"/>
  <c r="CV95" i="1"/>
  <c r="CM95" i="1"/>
  <c r="CH95" i="1"/>
  <c r="CE95" i="1"/>
  <c r="BQ95" i="1"/>
  <c r="BN95" i="1"/>
  <c r="BH95" i="1"/>
  <c r="BD95" i="1"/>
  <c r="AF95" i="1"/>
  <c r="V95" i="1"/>
  <c r="Q95" i="1"/>
  <c r="J95" i="1"/>
  <c r="CV94" i="1"/>
  <c r="CM94" i="1"/>
  <c r="CH94" i="1"/>
  <c r="CE94" i="1"/>
  <c r="BQ94" i="1"/>
  <c r="BN94" i="1"/>
  <c r="BH94" i="1"/>
  <c r="BD94" i="1"/>
  <c r="AF94" i="1"/>
  <c r="V94" i="1"/>
  <c r="Q94" i="1"/>
  <c r="CV93" i="1"/>
  <c r="CM93" i="1"/>
  <c r="CH93" i="1"/>
  <c r="CE93" i="1"/>
  <c r="BQ93" i="1"/>
  <c r="BN93" i="1"/>
  <c r="BH93" i="1"/>
  <c r="BD93" i="1"/>
  <c r="AF93" i="1"/>
  <c r="V93" i="1"/>
  <c r="Q93" i="1"/>
  <c r="CX92" i="1"/>
  <c r="CW92" i="1"/>
  <c r="CT92" i="1"/>
  <c r="CS92" i="1"/>
  <c r="CR92" i="1"/>
  <c r="CQ92" i="1"/>
  <c r="CO92" i="1"/>
  <c r="CN92" i="1"/>
  <c r="CL92" i="1"/>
  <c r="CK92" i="1"/>
  <c r="CJ92" i="1"/>
  <c r="CI92" i="1"/>
  <c r="CG92" i="1"/>
  <c r="CF92" i="1"/>
  <c r="CB92" i="1"/>
  <c r="CA92" i="1"/>
  <c r="BZ92" i="1"/>
  <c r="BY92" i="1"/>
  <c r="BX92" i="1"/>
  <c r="BW92" i="1"/>
  <c r="BV92" i="1"/>
  <c r="BU92" i="1"/>
  <c r="BT92" i="1"/>
  <c r="BS92" i="1"/>
  <c r="BR92" i="1"/>
  <c r="BO92" i="1"/>
  <c r="BM92" i="1"/>
  <c r="BL92" i="1"/>
  <c r="BK92" i="1"/>
  <c r="BJ92" i="1"/>
  <c r="BI92" i="1"/>
  <c r="BG92" i="1"/>
  <c r="BF92" i="1"/>
  <c r="BE92" i="1"/>
  <c r="BB92" i="1"/>
  <c r="BA92" i="1"/>
  <c r="AZ92" i="1"/>
  <c r="AY92" i="1"/>
  <c r="AX92" i="1"/>
  <c r="AU92" i="1"/>
  <c r="AT92" i="1"/>
  <c r="AS92" i="1"/>
  <c r="AQ92" i="1"/>
  <c r="AP92" i="1"/>
  <c r="AO92" i="1"/>
  <c r="AN92" i="1"/>
  <c r="AM92" i="1"/>
  <c r="AL92" i="1"/>
  <c r="AK92" i="1"/>
  <c r="AJ92" i="1"/>
  <c r="AI92" i="1"/>
  <c r="AH92" i="1"/>
  <c r="AG92" i="1"/>
  <c r="AE92" i="1"/>
  <c r="AD92" i="1"/>
  <c r="AC92" i="1"/>
  <c r="AB92" i="1"/>
  <c r="AA92" i="1"/>
  <c r="Z92" i="1"/>
  <c r="Y92" i="1"/>
  <c r="X92" i="1"/>
  <c r="W92" i="1"/>
  <c r="U92" i="1"/>
  <c r="T92" i="1"/>
  <c r="S92" i="1"/>
  <c r="R92" i="1"/>
  <c r="P92" i="1"/>
  <c r="O92" i="1"/>
  <c r="N92" i="1"/>
  <c r="M92" i="1"/>
  <c r="L92" i="1"/>
  <c r="K92" i="1"/>
  <c r="J97" i="1" s="1"/>
  <c r="H92" i="1"/>
  <c r="CV91" i="1"/>
  <c r="CM91" i="1"/>
  <c r="CH91" i="1"/>
  <c r="CE91" i="1"/>
  <c r="BQ91" i="1"/>
  <c r="BN91" i="1"/>
  <c r="BH91" i="1"/>
  <c r="BD91" i="1"/>
  <c r="AF91" i="1"/>
  <c r="V91" i="1"/>
  <c r="Q91" i="1"/>
  <c r="CV90" i="1"/>
  <c r="CM90" i="1"/>
  <c r="CH90" i="1"/>
  <c r="CE90" i="1"/>
  <c r="BQ90" i="1"/>
  <c r="BN90" i="1"/>
  <c r="BH90" i="1"/>
  <c r="BD90" i="1"/>
  <c r="AF90" i="1"/>
  <c r="V90" i="1"/>
  <c r="Q90" i="1"/>
  <c r="J90" i="1"/>
  <c r="CX89" i="1"/>
  <c r="CW89" i="1"/>
  <c r="CT89" i="1"/>
  <c r="CS89" i="1"/>
  <c r="CR89" i="1"/>
  <c r="CQ89" i="1"/>
  <c r="CO89" i="1"/>
  <c r="CN89" i="1"/>
  <c r="CL89" i="1"/>
  <c r="CK89" i="1"/>
  <c r="CJ89" i="1"/>
  <c r="CI89" i="1"/>
  <c r="CG89" i="1"/>
  <c r="CF89" i="1"/>
  <c r="CB89" i="1"/>
  <c r="CA89" i="1"/>
  <c r="BZ89" i="1"/>
  <c r="BY89" i="1"/>
  <c r="BX89" i="1"/>
  <c r="BW89" i="1"/>
  <c r="BV89" i="1"/>
  <c r="BU89" i="1"/>
  <c r="BT89" i="1"/>
  <c r="BS89" i="1"/>
  <c r="BR89" i="1"/>
  <c r="BO89" i="1"/>
  <c r="BM89" i="1"/>
  <c r="BL89" i="1"/>
  <c r="BK89" i="1"/>
  <c r="BJ89" i="1"/>
  <c r="BI89" i="1"/>
  <c r="BG89" i="1"/>
  <c r="BF89" i="1"/>
  <c r="BE89" i="1"/>
  <c r="BB89" i="1"/>
  <c r="BA89" i="1"/>
  <c r="AZ89" i="1"/>
  <c r="AY89" i="1"/>
  <c r="AX89" i="1"/>
  <c r="AU89" i="1"/>
  <c r="AT89" i="1"/>
  <c r="AS89" i="1"/>
  <c r="AQ89" i="1"/>
  <c r="AP89" i="1"/>
  <c r="AO89" i="1"/>
  <c r="AN89" i="1"/>
  <c r="AM89" i="1"/>
  <c r="AL89" i="1"/>
  <c r="AK89" i="1"/>
  <c r="AJ89" i="1"/>
  <c r="AI89" i="1"/>
  <c r="AH89" i="1"/>
  <c r="AG89" i="1"/>
  <c r="AE89" i="1"/>
  <c r="AD89" i="1"/>
  <c r="AC89" i="1"/>
  <c r="AB89" i="1"/>
  <c r="AA89" i="1"/>
  <c r="Z89" i="1"/>
  <c r="Y89" i="1"/>
  <c r="X89" i="1"/>
  <c r="W89" i="1"/>
  <c r="U89" i="1"/>
  <c r="T89" i="1"/>
  <c r="S89" i="1"/>
  <c r="R89" i="1"/>
  <c r="P89" i="1"/>
  <c r="O89" i="1"/>
  <c r="N89" i="1"/>
  <c r="M89" i="1"/>
  <c r="L89" i="1"/>
  <c r="J94" i="1" s="1"/>
  <c r="K89" i="1"/>
  <c r="H89" i="1"/>
  <c r="CV87" i="1"/>
  <c r="CM87" i="1"/>
  <c r="CH87" i="1"/>
  <c r="CE87" i="1"/>
  <c r="BQ87" i="1"/>
  <c r="BN87" i="1"/>
  <c r="BH87" i="1"/>
  <c r="BD87" i="1"/>
  <c r="AF87" i="1"/>
  <c r="V87" i="1"/>
  <c r="Q87" i="1"/>
  <c r="CX86" i="1"/>
  <c r="CW86" i="1"/>
  <c r="CT86" i="1"/>
  <c r="CS86" i="1"/>
  <c r="CR86" i="1"/>
  <c r="CQ86" i="1"/>
  <c r="CO86" i="1"/>
  <c r="CN86" i="1"/>
  <c r="CL86" i="1"/>
  <c r="CK86" i="1"/>
  <c r="CJ86" i="1"/>
  <c r="CI86" i="1"/>
  <c r="CG86" i="1"/>
  <c r="CF86" i="1"/>
  <c r="CB86" i="1"/>
  <c r="CA86" i="1"/>
  <c r="BZ86" i="1"/>
  <c r="BY86" i="1"/>
  <c r="BX86" i="1"/>
  <c r="BW86" i="1"/>
  <c r="BV86" i="1"/>
  <c r="BU86" i="1"/>
  <c r="BT86" i="1"/>
  <c r="BS86" i="1"/>
  <c r="BR86" i="1"/>
  <c r="BO86" i="1"/>
  <c r="BM86" i="1"/>
  <c r="BL86" i="1"/>
  <c r="BK86" i="1"/>
  <c r="BJ86" i="1"/>
  <c r="BI86" i="1"/>
  <c r="BG86" i="1"/>
  <c r="BF86" i="1"/>
  <c r="BE86" i="1"/>
  <c r="BB86" i="1"/>
  <c r="BA86" i="1"/>
  <c r="AZ86" i="1"/>
  <c r="AY86" i="1"/>
  <c r="AX86" i="1"/>
  <c r="AU86" i="1"/>
  <c r="AT86" i="1"/>
  <c r="AS86" i="1"/>
  <c r="AQ86" i="1"/>
  <c r="AP86" i="1"/>
  <c r="AO86" i="1"/>
  <c r="AN86" i="1"/>
  <c r="AM86" i="1"/>
  <c r="AL86" i="1"/>
  <c r="AK86" i="1"/>
  <c r="AJ86" i="1"/>
  <c r="AI86" i="1"/>
  <c r="AH86" i="1"/>
  <c r="AG86" i="1"/>
  <c r="AE86" i="1"/>
  <c r="AD86" i="1"/>
  <c r="AC86" i="1"/>
  <c r="AB86" i="1"/>
  <c r="AA86" i="1"/>
  <c r="Z86" i="1"/>
  <c r="Y86" i="1"/>
  <c r="X86" i="1"/>
  <c r="W86" i="1"/>
  <c r="U86" i="1"/>
  <c r="T86" i="1"/>
  <c r="S86" i="1"/>
  <c r="R86" i="1"/>
  <c r="P86" i="1"/>
  <c r="O86" i="1"/>
  <c r="N86" i="1"/>
  <c r="M86" i="1"/>
  <c r="L86" i="1"/>
  <c r="K86" i="1"/>
  <c r="J91" i="1" s="1"/>
  <c r="CV85" i="1"/>
  <c r="CU85" i="1" s="1"/>
  <c r="CM85" i="1"/>
  <c r="CH85" i="1"/>
  <c r="CE85" i="1"/>
  <c r="BQ85" i="1"/>
  <c r="BN85" i="1"/>
  <c r="BH85" i="1"/>
  <c r="BH84" i="1" s="1"/>
  <c r="BD85" i="1"/>
  <c r="AF85" i="1"/>
  <c r="V85" i="1"/>
  <c r="Q85" i="1"/>
  <c r="CX84" i="1"/>
  <c r="CW84" i="1"/>
  <c r="CT84" i="1"/>
  <c r="CS84" i="1"/>
  <c r="CR84" i="1"/>
  <c r="CQ84" i="1"/>
  <c r="CO84" i="1"/>
  <c r="CN84" i="1"/>
  <c r="CL84" i="1"/>
  <c r="CK84" i="1"/>
  <c r="CJ84" i="1"/>
  <c r="CI84" i="1"/>
  <c r="CG84" i="1"/>
  <c r="CF84" i="1"/>
  <c r="CB84" i="1"/>
  <c r="CA84" i="1"/>
  <c r="BZ84" i="1"/>
  <c r="BY84" i="1"/>
  <c r="BX84" i="1"/>
  <c r="BW84" i="1"/>
  <c r="BV84" i="1"/>
  <c r="BU84" i="1"/>
  <c r="BT84" i="1"/>
  <c r="BS84" i="1"/>
  <c r="BR84" i="1"/>
  <c r="BO84" i="1"/>
  <c r="BM84" i="1"/>
  <c r="BL84" i="1"/>
  <c r="BK84" i="1"/>
  <c r="BJ84" i="1"/>
  <c r="BI84" i="1"/>
  <c r="BG84" i="1"/>
  <c r="BF84" i="1"/>
  <c r="BE84" i="1"/>
  <c r="BB84" i="1"/>
  <c r="BA84" i="1"/>
  <c r="AZ84" i="1"/>
  <c r="AY84" i="1"/>
  <c r="AX84" i="1"/>
  <c r="AU84" i="1"/>
  <c r="AT84" i="1"/>
  <c r="AS84" i="1"/>
  <c r="AQ84" i="1"/>
  <c r="AP84" i="1"/>
  <c r="AO84" i="1"/>
  <c r="AN84" i="1"/>
  <c r="AM84" i="1"/>
  <c r="AL84" i="1"/>
  <c r="AK84" i="1"/>
  <c r="AJ84" i="1"/>
  <c r="AI84" i="1"/>
  <c r="AH84" i="1"/>
  <c r="AG84" i="1"/>
  <c r="AE84" i="1"/>
  <c r="AD84" i="1"/>
  <c r="AC84" i="1"/>
  <c r="AB84" i="1"/>
  <c r="AA84" i="1"/>
  <c r="Z84" i="1"/>
  <c r="Y84" i="1"/>
  <c r="X84" i="1"/>
  <c r="W84" i="1"/>
  <c r="U84" i="1"/>
  <c r="T84" i="1"/>
  <c r="S84" i="1"/>
  <c r="R84" i="1"/>
  <c r="P84" i="1"/>
  <c r="O84" i="1"/>
  <c r="N84" i="1"/>
  <c r="M84" i="1"/>
  <c r="L84" i="1"/>
  <c r="K84" i="1"/>
  <c r="H84" i="1"/>
  <c r="CV83" i="1"/>
  <c r="CM83" i="1"/>
  <c r="CH83" i="1"/>
  <c r="CE83" i="1"/>
  <c r="BQ83" i="1"/>
  <c r="BN83" i="1"/>
  <c r="BH83" i="1"/>
  <c r="BD83" i="1"/>
  <c r="AF83" i="1"/>
  <c r="V83" i="1"/>
  <c r="Q83" i="1"/>
  <c r="L83" i="1"/>
  <c r="CX82" i="1"/>
  <c r="CW82" i="1"/>
  <c r="CT82" i="1"/>
  <c r="CS82" i="1"/>
  <c r="CR82" i="1"/>
  <c r="CQ82" i="1"/>
  <c r="CO82" i="1"/>
  <c r="CN82" i="1"/>
  <c r="CL82" i="1"/>
  <c r="CK82" i="1"/>
  <c r="CJ82" i="1"/>
  <c r="CI82" i="1"/>
  <c r="CG82" i="1"/>
  <c r="CF82" i="1"/>
  <c r="CB82" i="1"/>
  <c r="CA82" i="1"/>
  <c r="BZ82" i="1"/>
  <c r="BY82" i="1"/>
  <c r="BX82" i="1"/>
  <c r="BW82" i="1"/>
  <c r="BV82" i="1"/>
  <c r="BU82" i="1"/>
  <c r="BT82" i="1"/>
  <c r="BS82" i="1"/>
  <c r="BR82" i="1"/>
  <c r="BO82" i="1"/>
  <c r="BM82" i="1"/>
  <c r="BL82" i="1"/>
  <c r="BK82" i="1"/>
  <c r="BJ82" i="1"/>
  <c r="BI82" i="1"/>
  <c r="BG82" i="1"/>
  <c r="BF82" i="1"/>
  <c r="BE82" i="1"/>
  <c r="BB82" i="1"/>
  <c r="BA82" i="1"/>
  <c r="AZ82" i="1"/>
  <c r="AY82" i="1"/>
  <c r="AX82" i="1"/>
  <c r="AU82" i="1"/>
  <c r="AT82" i="1"/>
  <c r="AS82" i="1"/>
  <c r="AQ82" i="1"/>
  <c r="AP82" i="1"/>
  <c r="AO82" i="1"/>
  <c r="AN82" i="1"/>
  <c r="AM82" i="1"/>
  <c r="AL82" i="1"/>
  <c r="AK82" i="1"/>
  <c r="AJ82" i="1"/>
  <c r="AI82" i="1"/>
  <c r="AH82" i="1"/>
  <c r="AG82" i="1"/>
  <c r="AE82" i="1"/>
  <c r="AD82" i="1"/>
  <c r="AC82" i="1"/>
  <c r="AB82" i="1"/>
  <c r="AA82" i="1"/>
  <c r="Z82" i="1"/>
  <c r="Y82" i="1"/>
  <c r="X82" i="1"/>
  <c r="W82" i="1"/>
  <c r="U82" i="1"/>
  <c r="T82" i="1"/>
  <c r="S82" i="1"/>
  <c r="R82" i="1"/>
  <c r="P82" i="1"/>
  <c r="O82" i="1"/>
  <c r="N82" i="1"/>
  <c r="M82" i="1"/>
  <c r="K82" i="1"/>
  <c r="CV81" i="1"/>
  <c r="CM81" i="1"/>
  <c r="CH81" i="1"/>
  <c r="CG81" i="1"/>
  <c r="CG80" i="1" s="1"/>
  <c r="BQ81" i="1"/>
  <c r="BN81" i="1"/>
  <c r="BH81" i="1"/>
  <c r="BD81" i="1"/>
  <c r="AF81" i="1"/>
  <c r="V81" i="1"/>
  <c r="Q81" i="1"/>
  <c r="CX80" i="1"/>
  <c r="CW80" i="1"/>
  <c r="CT80" i="1"/>
  <c r="CS80" i="1"/>
  <c r="CR80" i="1"/>
  <c r="CQ80" i="1"/>
  <c r="CO80" i="1"/>
  <c r="CN80" i="1"/>
  <c r="CL80" i="1"/>
  <c r="CK80" i="1"/>
  <c r="CJ80" i="1"/>
  <c r="CI80" i="1"/>
  <c r="CF80" i="1"/>
  <c r="CB80" i="1"/>
  <c r="CA80" i="1"/>
  <c r="BZ80" i="1"/>
  <c r="BY80" i="1"/>
  <c r="BX80" i="1"/>
  <c r="BW80" i="1"/>
  <c r="BV80" i="1"/>
  <c r="BU80" i="1"/>
  <c r="BT80" i="1"/>
  <c r="BS80" i="1"/>
  <c r="BR80" i="1"/>
  <c r="BO80" i="1"/>
  <c r="BM80" i="1"/>
  <c r="BL80" i="1"/>
  <c r="BK80" i="1"/>
  <c r="BJ80" i="1"/>
  <c r="BI80" i="1"/>
  <c r="BG80" i="1"/>
  <c r="BF80" i="1"/>
  <c r="BE80" i="1"/>
  <c r="BB80" i="1"/>
  <c r="BA80" i="1"/>
  <c r="AZ80" i="1"/>
  <c r="AY80" i="1"/>
  <c r="AX80" i="1"/>
  <c r="AU80" i="1"/>
  <c r="AT80" i="1"/>
  <c r="AS80" i="1"/>
  <c r="AQ80" i="1"/>
  <c r="AP80" i="1"/>
  <c r="AO80" i="1"/>
  <c r="AN80" i="1"/>
  <c r="AM80" i="1"/>
  <c r="AL80" i="1"/>
  <c r="AK80" i="1"/>
  <c r="AJ80" i="1"/>
  <c r="AI80" i="1"/>
  <c r="AH80" i="1"/>
  <c r="AG80" i="1"/>
  <c r="AE80" i="1"/>
  <c r="AD80" i="1"/>
  <c r="AC80" i="1"/>
  <c r="AB80" i="1"/>
  <c r="AA80" i="1"/>
  <c r="Z80" i="1"/>
  <c r="Y80" i="1"/>
  <c r="X80" i="1"/>
  <c r="W80" i="1"/>
  <c r="U80" i="1"/>
  <c r="T80" i="1"/>
  <c r="S80" i="1"/>
  <c r="R80" i="1"/>
  <c r="P80" i="1"/>
  <c r="O80" i="1"/>
  <c r="N80" i="1"/>
  <c r="M80" i="1"/>
  <c r="L80" i="1"/>
  <c r="J85" i="1" s="1"/>
  <c r="K80" i="1"/>
  <c r="I80" i="1"/>
  <c r="H80" i="1"/>
  <c r="CV79" i="1"/>
  <c r="CM79" i="1"/>
  <c r="CH79" i="1"/>
  <c r="CE79" i="1"/>
  <c r="BQ79" i="1"/>
  <c r="BN79" i="1"/>
  <c r="BH79" i="1"/>
  <c r="BD79" i="1"/>
  <c r="AF79" i="1"/>
  <c r="V79" i="1"/>
  <c r="Q79" i="1"/>
  <c r="J79" i="1"/>
  <c r="CX78" i="1"/>
  <c r="CW78" i="1"/>
  <c r="CT78" i="1"/>
  <c r="CS78" i="1"/>
  <c r="CR78" i="1"/>
  <c r="CQ78" i="1"/>
  <c r="CO78" i="1"/>
  <c r="CN78" i="1"/>
  <c r="CL78" i="1"/>
  <c r="CK78" i="1"/>
  <c r="CJ78" i="1"/>
  <c r="CI78" i="1"/>
  <c r="CG78" i="1"/>
  <c r="CF78" i="1"/>
  <c r="CB78" i="1"/>
  <c r="CA78" i="1"/>
  <c r="BZ78" i="1"/>
  <c r="BY78" i="1"/>
  <c r="BX78" i="1"/>
  <c r="BW78" i="1"/>
  <c r="BV78" i="1"/>
  <c r="BU78" i="1"/>
  <c r="BT78" i="1"/>
  <c r="BS78" i="1"/>
  <c r="BR78" i="1"/>
  <c r="BO78" i="1"/>
  <c r="BM78" i="1"/>
  <c r="BL78" i="1"/>
  <c r="BK78" i="1"/>
  <c r="BJ78" i="1"/>
  <c r="BI78" i="1"/>
  <c r="BG78" i="1"/>
  <c r="BF78" i="1"/>
  <c r="BE78" i="1"/>
  <c r="BB78" i="1"/>
  <c r="BA78" i="1"/>
  <c r="AZ78" i="1"/>
  <c r="AY78" i="1"/>
  <c r="AX78" i="1"/>
  <c r="AU78" i="1"/>
  <c r="AT78" i="1"/>
  <c r="AS78" i="1"/>
  <c r="AQ78" i="1"/>
  <c r="AP78" i="1"/>
  <c r="AO78" i="1"/>
  <c r="AN78" i="1"/>
  <c r="AM78" i="1"/>
  <c r="AL78" i="1"/>
  <c r="AK78" i="1"/>
  <c r="AJ78" i="1"/>
  <c r="AI78" i="1"/>
  <c r="AH78" i="1"/>
  <c r="AG78" i="1"/>
  <c r="AE78" i="1"/>
  <c r="AD78" i="1"/>
  <c r="AC78" i="1"/>
  <c r="AB78" i="1"/>
  <c r="AA78" i="1"/>
  <c r="Z78" i="1"/>
  <c r="Y78" i="1"/>
  <c r="X78" i="1"/>
  <c r="W78" i="1"/>
  <c r="U78" i="1"/>
  <c r="T78" i="1"/>
  <c r="S78" i="1"/>
  <c r="R78" i="1"/>
  <c r="P78" i="1"/>
  <c r="O78" i="1"/>
  <c r="N78" i="1"/>
  <c r="M78" i="1"/>
  <c r="L78" i="1"/>
  <c r="K78" i="1"/>
  <c r="H78" i="1"/>
  <c r="CV77" i="1"/>
  <c r="CM77" i="1"/>
  <c r="CH77" i="1"/>
  <c r="CE77" i="1"/>
  <c r="BQ77" i="1"/>
  <c r="BN77" i="1"/>
  <c r="BH77" i="1"/>
  <c r="BD77" i="1"/>
  <c r="AF77" i="1"/>
  <c r="V77" i="1"/>
  <c r="Q77" i="1"/>
  <c r="J77" i="1"/>
  <c r="CX76" i="1"/>
  <c r="CW76" i="1"/>
  <c r="CT76" i="1"/>
  <c r="CS76" i="1"/>
  <c r="CR76" i="1"/>
  <c r="CQ76" i="1"/>
  <c r="CO76" i="1"/>
  <c r="CN76" i="1"/>
  <c r="CL76" i="1"/>
  <c r="CK76" i="1"/>
  <c r="CJ76" i="1"/>
  <c r="CI76" i="1"/>
  <c r="CG76" i="1"/>
  <c r="CF76" i="1"/>
  <c r="CB76" i="1"/>
  <c r="CA76" i="1"/>
  <c r="BZ76" i="1"/>
  <c r="BY76" i="1"/>
  <c r="BX76" i="1"/>
  <c r="BW76" i="1"/>
  <c r="BV76" i="1"/>
  <c r="BU76" i="1"/>
  <c r="BT76" i="1"/>
  <c r="BS76" i="1"/>
  <c r="BR76" i="1"/>
  <c r="BO76" i="1"/>
  <c r="BM76" i="1"/>
  <c r="BL76" i="1"/>
  <c r="BK76" i="1"/>
  <c r="BJ76" i="1"/>
  <c r="BI76" i="1"/>
  <c r="BG76" i="1"/>
  <c r="BF76" i="1"/>
  <c r="BE76" i="1"/>
  <c r="BB76" i="1"/>
  <c r="BA76" i="1"/>
  <c r="AZ76" i="1"/>
  <c r="AY76" i="1"/>
  <c r="AX76" i="1"/>
  <c r="AU76" i="1"/>
  <c r="AT76" i="1"/>
  <c r="AS76" i="1"/>
  <c r="AQ76" i="1"/>
  <c r="AP76" i="1"/>
  <c r="AO76" i="1"/>
  <c r="AN76" i="1"/>
  <c r="AM76" i="1"/>
  <c r="AL76" i="1"/>
  <c r="AK76" i="1"/>
  <c r="AJ76" i="1"/>
  <c r="AI76" i="1"/>
  <c r="AH76" i="1"/>
  <c r="AG76" i="1"/>
  <c r="AE76" i="1"/>
  <c r="AD76" i="1"/>
  <c r="AC76" i="1"/>
  <c r="AB76" i="1"/>
  <c r="AA76" i="1"/>
  <c r="Z76" i="1"/>
  <c r="Y76" i="1"/>
  <c r="X76" i="1"/>
  <c r="W76" i="1"/>
  <c r="U76" i="1"/>
  <c r="T76" i="1"/>
  <c r="S76" i="1"/>
  <c r="R76" i="1"/>
  <c r="P76" i="1"/>
  <c r="O76" i="1"/>
  <c r="N76" i="1"/>
  <c r="M76" i="1"/>
  <c r="L76" i="1"/>
  <c r="K76" i="1"/>
  <c r="J81" i="1" s="1"/>
  <c r="CV75" i="1"/>
  <c r="CM75" i="1"/>
  <c r="CH75" i="1"/>
  <c r="CE75" i="1"/>
  <c r="BQ75" i="1"/>
  <c r="BN75" i="1"/>
  <c r="BH75" i="1"/>
  <c r="BD75" i="1"/>
  <c r="AF75" i="1"/>
  <c r="V75" i="1"/>
  <c r="Q75" i="1"/>
  <c r="CV74" i="1"/>
  <c r="CM74" i="1"/>
  <c r="CH74" i="1"/>
  <c r="CE74" i="1"/>
  <c r="BQ74" i="1"/>
  <c r="BN74" i="1"/>
  <c r="BH74" i="1"/>
  <c r="BD74" i="1"/>
  <c r="AF74" i="1"/>
  <c r="V74" i="1"/>
  <c r="Q74" i="1"/>
  <c r="J74" i="1"/>
  <c r="CX73" i="1"/>
  <c r="CW73" i="1"/>
  <c r="CT73" i="1"/>
  <c r="CS73" i="1"/>
  <c r="CR73" i="1"/>
  <c r="CQ73" i="1"/>
  <c r="CO73" i="1"/>
  <c r="CN73" i="1"/>
  <c r="CL73" i="1"/>
  <c r="CK73" i="1"/>
  <c r="CJ73" i="1"/>
  <c r="CI73" i="1"/>
  <c r="CG73" i="1"/>
  <c r="CF73" i="1"/>
  <c r="CB73" i="1"/>
  <c r="CA73" i="1"/>
  <c r="BZ73" i="1"/>
  <c r="BY73" i="1"/>
  <c r="BX73" i="1"/>
  <c r="BW73" i="1"/>
  <c r="BV73" i="1"/>
  <c r="BU73" i="1"/>
  <c r="BT73" i="1"/>
  <c r="BS73" i="1"/>
  <c r="BR73" i="1"/>
  <c r="BO73" i="1"/>
  <c r="BM73" i="1"/>
  <c r="BL73" i="1"/>
  <c r="BK73" i="1"/>
  <c r="BJ73" i="1"/>
  <c r="BI73" i="1"/>
  <c r="BG73" i="1"/>
  <c r="BF73" i="1"/>
  <c r="BE73" i="1"/>
  <c r="BB73" i="1"/>
  <c r="BA73" i="1"/>
  <c r="AZ73" i="1"/>
  <c r="AY73" i="1"/>
  <c r="AX73" i="1"/>
  <c r="AU73" i="1"/>
  <c r="AT73" i="1"/>
  <c r="AS73" i="1"/>
  <c r="AQ73" i="1"/>
  <c r="AP73" i="1"/>
  <c r="AO73" i="1"/>
  <c r="AN73" i="1"/>
  <c r="AM73" i="1"/>
  <c r="AL73" i="1"/>
  <c r="AK73" i="1"/>
  <c r="AJ73" i="1"/>
  <c r="AI73" i="1"/>
  <c r="AH73" i="1"/>
  <c r="AG73" i="1"/>
  <c r="AE73" i="1"/>
  <c r="AD73" i="1"/>
  <c r="AC73" i="1"/>
  <c r="AB73" i="1"/>
  <c r="AA73" i="1"/>
  <c r="Z73" i="1"/>
  <c r="Y73" i="1"/>
  <c r="X73" i="1"/>
  <c r="W73" i="1"/>
  <c r="U73" i="1"/>
  <c r="T73" i="1"/>
  <c r="S73" i="1"/>
  <c r="R73" i="1"/>
  <c r="P73" i="1"/>
  <c r="O73" i="1"/>
  <c r="N73" i="1"/>
  <c r="M73" i="1"/>
  <c r="L73" i="1"/>
  <c r="K73" i="1"/>
  <c r="H73" i="1"/>
  <c r="CV72" i="1"/>
  <c r="CM72" i="1"/>
  <c r="CH72" i="1"/>
  <c r="CE72" i="1"/>
  <c r="BQ72" i="1"/>
  <c r="BN72" i="1"/>
  <c r="BH72" i="1"/>
  <c r="BD72" i="1"/>
  <c r="AS72" i="1"/>
  <c r="AS71" i="1" s="1"/>
  <c r="AB72" i="1"/>
  <c r="AB71" i="1" s="1"/>
  <c r="Q72" i="1"/>
  <c r="J72" i="1"/>
  <c r="CX71" i="1"/>
  <c r="CW71" i="1"/>
  <c r="CT71" i="1"/>
  <c r="CS71" i="1"/>
  <c r="CR71" i="1"/>
  <c r="CQ71" i="1"/>
  <c r="CO71" i="1"/>
  <c r="CN71" i="1"/>
  <c r="CL71" i="1"/>
  <c r="CK71" i="1"/>
  <c r="CJ71" i="1"/>
  <c r="CI71" i="1"/>
  <c r="CG71" i="1"/>
  <c r="CF71" i="1"/>
  <c r="CB71" i="1"/>
  <c r="CA71" i="1"/>
  <c r="BZ71" i="1"/>
  <c r="BY71" i="1"/>
  <c r="BX71" i="1"/>
  <c r="BW71" i="1"/>
  <c r="BV71" i="1"/>
  <c r="BU71" i="1"/>
  <c r="BT71" i="1"/>
  <c r="BS71" i="1"/>
  <c r="BR71" i="1"/>
  <c r="BO71" i="1"/>
  <c r="BM71" i="1"/>
  <c r="BL71" i="1"/>
  <c r="BK71" i="1"/>
  <c r="BJ71" i="1"/>
  <c r="BI71" i="1"/>
  <c r="BG71" i="1"/>
  <c r="BF71" i="1"/>
  <c r="BE71" i="1"/>
  <c r="BB71" i="1"/>
  <c r="BA71" i="1"/>
  <c r="AZ71" i="1"/>
  <c r="AY71" i="1"/>
  <c r="AX71" i="1"/>
  <c r="AU71" i="1"/>
  <c r="AT71" i="1"/>
  <c r="AQ71" i="1"/>
  <c r="AP71" i="1"/>
  <c r="AO71" i="1"/>
  <c r="AN71" i="1"/>
  <c r="AM71" i="1"/>
  <c r="AL71" i="1"/>
  <c r="AK71" i="1"/>
  <c r="AJ71" i="1"/>
  <c r="AI71" i="1"/>
  <c r="AH71" i="1"/>
  <c r="AG71" i="1"/>
  <c r="AE71" i="1"/>
  <c r="AD71" i="1"/>
  <c r="AC71" i="1"/>
  <c r="AA71" i="1"/>
  <c r="Z71" i="1"/>
  <c r="Y71" i="1"/>
  <c r="X71" i="1"/>
  <c r="W71" i="1"/>
  <c r="U71" i="1"/>
  <c r="T71" i="1"/>
  <c r="S71" i="1"/>
  <c r="R71" i="1"/>
  <c r="P71" i="1"/>
  <c r="O71" i="1"/>
  <c r="N71" i="1"/>
  <c r="M71" i="1"/>
  <c r="K71" i="1"/>
  <c r="H71" i="1"/>
  <c r="CV69" i="1"/>
  <c r="CM69" i="1"/>
  <c r="CH69" i="1"/>
  <c r="CE69" i="1"/>
  <c r="BQ69" i="1"/>
  <c r="BN69" i="1"/>
  <c r="BH69" i="1"/>
  <c r="BD69" i="1"/>
  <c r="AF69" i="1"/>
  <c r="V69" i="1"/>
  <c r="Q69" i="1"/>
  <c r="J69" i="1"/>
  <c r="CX68" i="1"/>
  <c r="CW68" i="1"/>
  <c r="CT68" i="1"/>
  <c r="CS68" i="1"/>
  <c r="CR68" i="1"/>
  <c r="CQ68" i="1"/>
  <c r="CO68" i="1"/>
  <c r="CN68" i="1"/>
  <c r="CL68" i="1"/>
  <c r="CK68" i="1"/>
  <c r="CJ68" i="1"/>
  <c r="CI68" i="1"/>
  <c r="CG68" i="1"/>
  <c r="CF68" i="1"/>
  <c r="CB68" i="1"/>
  <c r="CA68" i="1"/>
  <c r="BZ68" i="1"/>
  <c r="BY68" i="1"/>
  <c r="BX68" i="1"/>
  <c r="BW68" i="1"/>
  <c r="BV68" i="1"/>
  <c r="BU68" i="1"/>
  <c r="BT68" i="1"/>
  <c r="BS68" i="1"/>
  <c r="BR68" i="1"/>
  <c r="BO68" i="1"/>
  <c r="BM68" i="1"/>
  <c r="BL68" i="1"/>
  <c r="BK68" i="1"/>
  <c r="BJ68" i="1"/>
  <c r="BI68" i="1"/>
  <c r="BG68" i="1"/>
  <c r="BF68" i="1"/>
  <c r="BE68" i="1"/>
  <c r="BB68" i="1"/>
  <c r="BA68" i="1"/>
  <c r="AZ68" i="1"/>
  <c r="AY68" i="1"/>
  <c r="AX68" i="1"/>
  <c r="AU68" i="1"/>
  <c r="AT68" i="1"/>
  <c r="AS68" i="1"/>
  <c r="AQ68" i="1"/>
  <c r="AP68" i="1"/>
  <c r="AO68" i="1"/>
  <c r="AN68" i="1"/>
  <c r="AM68" i="1"/>
  <c r="AL68" i="1"/>
  <c r="AK68" i="1"/>
  <c r="AJ68" i="1"/>
  <c r="AI68" i="1"/>
  <c r="AH68" i="1"/>
  <c r="AG68" i="1"/>
  <c r="AE68" i="1"/>
  <c r="AD68" i="1"/>
  <c r="AC68" i="1"/>
  <c r="AB68" i="1"/>
  <c r="AA68" i="1"/>
  <c r="Z68" i="1"/>
  <c r="Y68" i="1"/>
  <c r="X68" i="1"/>
  <c r="W68" i="1"/>
  <c r="U68" i="1"/>
  <c r="T68" i="1"/>
  <c r="S68" i="1"/>
  <c r="R68" i="1"/>
  <c r="P68" i="1"/>
  <c r="O68" i="1"/>
  <c r="N68" i="1"/>
  <c r="M68" i="1"/>
  <c r="L68" i="1"/>
  <c r="K68" i="1"/>
  <c r="CV67" i="1"/>
  <c r="CM67" i="1"/>
  <c r="CH67" i="1"/>
  <c r="CE67" i="1"/>
  <c r="BN67" i="1"/>
  <c r="BH67" i="1"/>
  <c r="BD67" i="1"/>
  <c r="AF67" i="1"/>
  <c r="V67" i="1"/>
  <c r="Q67" i="1"/>
  <c r="CX66" i="1"/>
  <c r="CW66" i="1"/>
  <c r="CT66" i="1"/>
  <c r="CS66" i="1"/>
  <c r="CR66" i="1"/>
  <c r="CQ66" i="1"/>
  <c r="CO66" i="1"/>
  <c r="CN66" i="1"/>
  <c r="CL66" i="1"/>
  <c r="CK66" i="1"/>
  <c r="CJ66" i="1"/>
  <c r="CI66" i="1"/>
  <c r="CG66" i="1"/>
  <c r="CF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O66" i="1"/>
  <c r="BM66" i="1"/>
  <c r="BL66" i="1"/>
  <c r="BK66" i="1"/>
  <c r="BJ66" i="1"/>
  <c r="BI66" i="1"/>
  <c r="BG66" i="1"/>
  <c r="BF66" i="1"/>
  <c r="BE66" i="1"/>
  <c r="BB66" i="1"/>
  <c r="BA66" i="1"/>
  <c r="AZ66" i="1"/>
  <c r="AY66" i="1"/>
  <c r="AX66" i="1"/>
  <c r="AU66" i="1"/>
  <c r="AT66" i="1"/>
  <c r="AS66" i="1"/>
  <c r="AQ66" i="1"/>
  <c r="AP66" i="1"/>
  <c r="AO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U66" i="1"/>
  <c r="T66" i="1"/>
  <c r="S66" i="1"/>
  <c r="R66" i="1"/>
  <c r="P66" i="1"/>
  <c r="O66" i="1"/>
  <c r="N66" i="1"/>
  <c r="M66" i="1"/>
  <c r="L66" i="1"/>
  <c r="K66" i="1"/>
  <c r="I66" i="1"/>
  <c r="CV64" i="1"/>
  <c r="CM64" i="1"/>
  <c r="CH64" i="1"/>
  <c r="CE64" i="1"/>
  <c r="BQ64" i="1"/>
  <c r="BN64" i="1"/>
  <c r="BH64" i="1"/>
  <c r="BD64" i="1"/>
  <c r="BB64" i="1"/>
  <c r="V64" i="1"/>
  <c r="Q64" i="1"/>
  <c r="J64" i="1"/>
  <c r="CX63" i="1"/>
  <c r="CW63" i="1"/>
  <c r="CT63" i="1"/>
  <c r="CS63" i="1"/>
  <c r="CR63" i="1"/>
  <c r="CQ63" i="1"/>
  <c r="CO63" i="1"/>
  <c r="CN63" i="1"/>
  <c r="CL63" i="1"/>
  <c r="CK63" i="1"/>
  <c r="CJ63" i="1"/>
  <c r="CI63" i="1"/>
  <c r="CG63" i="1"/>
  <c r="CF63" i="1"/>
  <c r="CB63" i="1"/>
  <c r="CA63" i="1"/>
  <c r="BZ63" i="1"/>
  <c r="BY63" i="1"/>
  <c r="BX63" i="1"/>
  <c r="BW63" i="1"/>
  <c r="BV63" i="1"/>
  <c r="BU63" i="1"/>
  <c r="BT63" i="1"/>
  <c r="BS63" i="1"/>
  <c r="BR63" i="1"/>
  <c r="BO63" i="1"/>
  <c r="BM63" i="1"/>
  <c r="BL63" i="1"/>
  <c r="BK63" i="1"/>
  <c r="BJ63" i="1"/>
  <c r="BI63" i="1"/>
  <c r="BG63" i="1"/>
  <c r="BF63" i="1"/>
  <c r="BE63" i="1"/>
  <c r="BA63" i="1"/>
  <c r="AZ63" i="1"/>
  <c r="AY63" i="1"/>
  <c r="AX63" i="1"/>
  <c r="AU63" i="1"/>
  <c r="AT63" i="1"/>
  <c r="AS63" i="1"/>
  <c r="AQ63" i="1"/>
  <c r="AP63" i="1"/>
  <c r="AO63" i="1"/>
  <c r="AN63" i="1"/>
  <c r="AM63" i="1"/>
  <c r="AL63" i="1"/>
  <c r="AK63" i="1"/>
  <c r="AJ63" i="1"/>
  <c r="AI63" i="1"/>
  <c r="AH63" i="1"/>
  <c r="AG63" i="1"/>
  <c r="AE63" i="1"/>
  <c r="AD63" i="1"/>
  <c r="AC63" i="1"/>
  <c r="AB63" i="1"/>
  <c r="AA63" i="1"/>
  <c r="Z63" i="1"/>
  <c r="Y63" i="1"/>
  <c r="X63" i="1"/>
  <c r="W63" i="1"/>
  <c r="U63" i="1"/>
  <c r="T63" i="1"/>
  <c r="S63" i="1"/>
  <c r="R63" i="1"/>
  <c r="P63" i="1"/>
  <c r="O63" i="1"/>
  <c r="N63" i="1"/>
  <c r="M63" i="1"/>
  <c r="L63" i="1"/>
  <c r="K63" i="1"/>
  <c r="I63" i="1"/>
  <c r="H63" i="1"/>
  <c r="CV62" i="1"/>
  <c r="CM62" i="1"/>
  <c r="CH62" i="1"/>
  <c r="CE62" i="1"/>
  <c r="BQ62" i="1"/>
  <c r="BN62" i="1"/>
  <c r="BH62" i="1"/>
  <c r="BD62" i="1"/>
  <c r="AF62" i="1"/>
  <c r="V62" i="1"/>
  <c r="Q62" i="1"/>
  <c r="J62" i="1"/>
  <c r="CX61" i="1"/>
  <c r="CW61" i="1"/>
  <c r="CT61" i="1"/>
  <c r="CS61" i="1"/>
  <c r="CR61" i="1"/>
  <c r="CQ61" i="1"/>
  <c r="CO61" i="1"/>
  <c r="CN61" i="1"/>
  <c r="CL61" i="1"/>
  <c r="CK61" i="1"/>
  <c r="CJ61" i="1"/>
  <c r="CI61" i="1"/>
  <c r="CG61" i="1"/>
  <c r="CF61" i="1"/>
  <c r="CB61" i="1"/>
  <c r="CA61" i="1"/>
  <c r="BZ61" i="1"/>
  <c r="BY61" i="1"/>
  <c r="BX61" i="1"/>
  <c r="BW61" i="1"/>
  <c r="BV61" i="1"/>
  <c r="BU61" i="1"/>
  <c r="BT61" i="1"/>
  <c r="BS61" i="1"/>
  <c r="BR61" i="1"/>
  <c r="BO61" i="1"/>
  <c r="BM61" i="1"/>
  <c r="BL61" i="1"/>
  <c r="BK61" i="1"/>
  <c r="BJ61" i="1"/>
  <c r="BI61" i="1"/>
  <c r="BG61" i="1"/>
  <c r="BF61" i="1"/>
  <c r="BE61" i="1"/>
  <c r="BB61" i="1"/>
  <c r="BA61" i="1"/>
  <c r="AZ61" i="1"/>
  <c r="AY61" i="1"/>
  <c r="AX61" i="1"/>
  <c r="AU61" i="1"/>
  <c r="AT61" i="1"/>
  <c r="AS61" i="1"/>
  <c r="AQ61" i="1"/>
  <c r="AP61" i="1"/>
  <c r="AO61" i="1"/>
  <c r="AN61" i="1"/>
  <c r="AM61" i="1"/>
  <c r="AL61" i="1"/>
  <c r="AK61" i="1"/>
  <c r="AJ61" i="1"/>
  <c r="AI61" i="1"/>
  <c r="AH61" i="1"/>
  <c r="AG61" i="1"/>
  <c r="AE61" i="1"/>
  <c r="AD61" i="1"/>
  <c r="AC61" i="1"/>
  <c r="AB61" i="1"/>
  <c r="AA61" i="1"/>
  <c r="Z61" i="1"/>
  <c r="Y61" i="1"/>
  <c r="X61" i="1"/>
  <c r="W61" i="1"/>
  <c r="U61" i="1"/>
  <c r="T61" i="1"/>
  <c r="S61" i="1"/>
  <c r="R61" i="1"/>
  <c r="P61" i="1"/>
  <c r="O61" i="1"/>
  <c r="N61" i="1"/>
  <c r="M61" i="1"/>
  <c r="L61" i="1"/>
  <c r="K61" i="1"/>
  <c r="CV59" i="1"/>
  <c r="CM59" i="1"/>
  <c r="CH59" i="1"/>
  <c r="CE59" i="1"/>
  <c r="BQ59" i="1"/>
  <c r="BN59" i="1"/>
  <c r="BH59" i="1"/>
  <c r="BD59" i="1"/>
  <c r="AF59" i="1"/>
  <c r="V59" i="1"/>
  <c r="Q59" i="1"/>
  <c r="CX58" i="1"/>
  <c r="CW58" i="1"/>
  <c r="CT58" i="1"/>
  <c r="CS58" i="1"/>
  <c r="CR58" i="1"/>
  <c r="CQ58" i="1"/>
  <c r="CO58" i="1"/>
  <c r="CN58" i="1"/>
  <c r="CL58" i="1"/>
  <c r="CK58" i="1"/>
  <c r="CJ58" i="1"/>
  <c r="CI58" i="1"/>
  <c r="CG58" i="1"/>
  <c r="CF58" i="1"/>
  <c r="CB58" i="1"/>
  <c r="CA58" i="1"/>
  <c r="BZ58" i="1"/>
  <c r="BY58" i="1"/>
  <c r="BX58" i="1"/>
  <c r="BW58" i="1"/>
  <c r="BV58" i="1"/>
  <c r="BU58" i="1"/>
  <c r="BT58" i="1"/>
  <c r="BS58" i="1"/>
  <c r="BR58" i="1"/>
  <c r="BO58" i="1"/>
  <c r="BM58" i="1"/>
  <c r="BL58" i="1"/>
  <c r="BK58" i="1"/>
  <c r="BJ58" i="1"/>
  <c r="BI58" i="1"/>
  <c r="BG58" i="1"/>
  <c r="BF58" i="1"/>
  <c r="BE58" i="1"/>
  <c r="BB58" i="1"/>
  <c r="BA58" i="1"/>
  <c r="AZ58" i="1"/>
  <c r="AY58" i="1"/>
  <c r="AX58" i="1"/>
  <c r="AW58" i="1"/>
  <c r="AV58" i="1"/>
  <c r="AU58" i="1"/>
  <c r="AT58" i="1"/>
  <c r="AS58" i="1"/>
  <c r="AQ58" i="1"/>
  <c r="AP58" i="1"/>
  <c r="AO58" i="1"/>
  <c r="AN58" i="1"/>
  <c r="AM58" i="1"/>
  <c r="AL58" i="1"/>
  <c r="AK58" i="1"/>
  <c r="AJ58" i="1"/>
  <c r="AI58" i="1"/>
  <c r="AH58" i="1"/>
  <c r="AG58" i="1"/>
  <c r="AE58" i="1"/>
  <c r="AD58" i="1"/>
  <c r="AC58" i="1"/>
  <c r="AB58" i="1"/>
  <c r="AA58" i="1"/>
  <c r="Z58" i="1"/>
  <c r="Y58" i="1"/>
  <c r="X58" i="1"/>
  <c r="W58" i="1"/>
  <c r="U58" i="1"/>
  <c r="T58" i="1"/>
  <c r="S58" i="1"/>
  <c r="R58" i="1"/>
  <c r="P58" i="1"/>
  <c r="O58" i="1"/>
  <c r="N58" i="1"/>
  <c r="M58" i="1"/>
  <c r="L58" i="1"/>
  <c r="K58" i="1"/>
  <c r="I58" i="1"/>
  <c r="H58" i="1"/>
  <c r="CV57" i="1"/>
  <c r="CM57" i="1"/>
  <c r="CH57" i="1"/>
  <c r="CE57" i="1"/>
  <c r="BQ57" i="1"/>
  <c r="BN57" i="1"/>
  <c r="BH57" i="1"/>
  <c r="BD57" i="1"/>
  <c r="AF57" i="1"/>
  <c r="V57" i="1"/>
  <c r="Q57" i="1"/>
  <c r="CX56" i="1"/>
  <c r="CW56" i="1"/>
  <c r="CT56" i="1"/>
  <c r="CS56" i="1"/>
  <c r="CR56" i="1"/>
  <c r="CQ56" i="1"/>
  <c r="CO56" i="1"/>
  <c r="CN56" i="1"/>
  <c r="CL56" i="1"/>
  <c r="CK56" i="1"/>
  <c r="CJ56" i="1"/>
  <c r="CI56" i="1"/>
  <c r="CG56" i="1"/>
  <c r="CF56" i="1"/>
  <c r="CB56" i="1"/>
  <c r="CA56" i="1"/>
  <c r="BZ56" i="1"/>
  <c r="BY56" i="1"/>
  <c r="BX56" i="1"/>
  <c r="BW56" i="1"/>
  <c r="BV56" i="1"/>
  <c r="BU56" i="1"/>
  <c r="BT56" i="1"/>
  <c r="BS56" i="1"/>
  <c r="BR56" i="1"/>
  <c r="BO56" i="1"/>
  <c r="BM56" i="1"/>
  <c r="BL56" i="1"/>
  <c r="BK56" i="1"/>
  <c r="BJ56" i="1"/>
  <c r="BI56" i="1"/>
  <c r="BG56" i="1"/>
  <c r="BF56" i="1"/>
  <c r="BE56" i="1"/>
  <c r="BB56" i="1"/>
  <c r="BA56" i="1"/>
  <c r="AZ56" i="1"/>
  <c r="AY56" i="1"/>
  <c r="AX56" i="1"/>
  <c r="AU56" i="1"/>
  <c r="AT56" i="1"/>
  <c r="AS56" i="1"/>
  <c r="AQ56" i="1"/>
  <c r="AP56" i="1"/>
  <c r="AO56" i="1"/>
  <c r="AN56" i="1"/>
  <c r="AM56" i="1"/>
  <c r="AL56" i="1"/>
  <c r="AK56" i="1"/>
  <c r="AJ56" i="1"/>
  <c r="AI56" i="1"/>
  <c r="AH56" i="1"/>
  <c r="AG56" i="1"/>
  <c r="AE56" i="1"/>
  <c r="AD56" i="1"/>
  <c r="AC56" i="1"/>
  <c r="AB56" i="1"/>
  <c r="AA56" i="1"/>
  <c r="Z56" i="1"/>
  <c r="Y56" i="1"/>
  <c r="X56" i="1"/>
  <c r="W56" i="1"/>
  <c r="U56" i="1"/>
  <c r="T56" i="1"/>
  <c r="S56" i="1"/>
  <c r="R56" i="1"/>
  <c r="P56" i="1"/>
  <c r="O56" i="1"/>
  <c r="N56" i="1"/>
  <c r="M56" i="1"/>
  <c r="L56" i="1"/>
  <c r="K56" i="1"/>
  <c r="I56" i="1"/>
  <c r="CV55" i="1"/>
  <c r="CM55" i="1"/>
  <c r="CH55" i="1"/>
  <c r="CE55" i="1"/>
  <c r="BN55" i="1"/>
  <c r="BH55" i="1"/>
  <c r="BD55" i="1"/>
  <c r="AF55" i="1"/>
  <c r="V55" i="1"/>
  <c r="Q55" i="1"/>
  <c r="CX54" i="1"/>
  <c r="CW54" i="1"/>
  <c r="CT54" i="1"/>
  <c r="CS54" i="1"/>
  <c r="CR54" i="1"/>
  <c r="CQ54" i="1"/>
  <c r="CO54" i="1"/>
  <c r="CN54" i="1"/>
  <c r="CL54" i="1"/>
  <c r="CK54" i="1"/>
  <c r="CJ54" i="1"/>
  <c r="CI54" i="1"/>
  <c r="CG54" i="1"/>
  <c r="CF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O54" i="1"/>
  <c r="BM54" i="1"/>
  <c r="BL54" i="1"/>
  <c r="BK54" i="1"/>
  <c r="BJ54" i="1"/>
  <c r="BI54" i="1"/>
  <c r="BG54" i="1"/>
  <c r="BF54" i="1"/>
  <c r="BE54" i="1"/>
  <c r="BB54" i="1"/>
  <c r="BA54" i="1"/>
  <c r="AZ54" i="1"/>
  <c r="AY54" i="1"/>
  <c r="AX54" i="1"/>
  <c r="AU54" i="1"/>
  <c r="AT54" i="1"/>
  <c r="AS54" i="1"/>
  <c r="AQ54" i="1"/>
  <c r="AP54" i="1"/>
  <c r="AO54" i="1"/>
  <c r="AN54" i="1"/>
  <c r="AM54" i="1"/>
  <c r="AL54" i="1"/>
  <c r="AK54" i="1"/>
  <c r="AJ54" i="1"/>
  <c r="AI54" i="1"/>
  <c r="AH54" i="1"/>
  <c r="AG54" i="1"/>
  <c r="AE54" i="1"/>
  <c r="AD54" i="1"/>
  <c r="AC54" i="1"/>
  <c r="AB54" i="1"/>
  <c r="AA54" i="1"/>
  <c r="Z54" i="1"/>
  <c r="Y54" i="1"/>
  <c r="X54" i="1"/>
  <c r="W54" i="1"/>
  <c r="U54" i="1"/>
  <c r="T54" i="1"/>
  <c r="S54" i="1"/>
  <c r="R54" i="1"/>
  <c r="P54" i="1"/>
  <c r="O54" i="1"/>
  <c r="N54" i="1"/>
  <c r="M54" i="1"/>
  <c r="L54" i="1"/>
  <c r="J59" i="1" s="1"/>
  <c r="K54" i="1"/>
  <c r="CV53" i="1"/>
  <c r="CM53" i="1"/>
  <c r="CH53" i="1"/>
  <c r="CE53" i="1"/>
  <c r="BQ53" i="1"/>
  <c r="BN53" i="1"/>
  <c r="BH53" i="1"/>
  <c r="BD53" i="1"/>
  <c r="AF53" i="1"/>
  <c r="V53" i="1"/>
  <c r="Q53" i="1"/>
  <c r="J53" i="1"/>
  <c r="CX52" i="1"/>
  <c r="CW52" i="1"/>
  <c r="CT52" i="1"/>
  <c r="CS52" i="1"/>
  <c r="CR52" i="1"/>
  <c r="CQ52" i="1"/>
  <c r="CO52" i="1"/>
  <c r="CN52" i="1"/>
  <c r="CL52" i="1"/>
  <c r="CK52" i="1"/>
  <c r="CJ52" i="1"/>
  <c r="CI52" i="1"/>
  <c r="CG52" i="1"/>
  <c r="CF52" i="1"/>
  <c r="CB52" i="1"/>
  <c r="CA52" i="1"/>
  <c r="BZ52" i="1"/>
  <c r="BY52" i="1"/>
  <c r="BX52" i="1"/>
  <c r="BW52" i="1"/>
  <c r="BV52" i="1"/>
  <c r="BU52" i="1"/>
  <c r="BT52" i="1"/>
  <c r="BS52" i="1"/>
  <c r="BR52" i="1"/>
  <c r="BO52" i="1"/>
  <c r="BM52" i="1"/>
  <c r="BL52" i="1"/>
  <c r="BK52" i="1"/>
  <c r="BJ52" i="1"/>
  <c r="BI52" i="1"/>
  <c r="BG52" i="1"/>
  <c r="BF52" i="1"/>
  <c r="BE52" i="1"/>
  <c r="BB52" i="1"/>
  <c r="BA52" i="1"/>
  <c r="AZ52" i="1"/>
  <c r="AY52" i="1"/>
  <c r="AX52" i="1"/>
  <c r="AU52" i="1"/>
  <c r="AT52" i="1"/>
  <c r="AS52" i="1"/>
  <c r="AQ52" i="1"/>
  <c r="AP52" i="1"/>
  <c r="AO52" i="1"/>
  <c r="AN52" i="1"/>
  <c r="AM52" i="1"/>
  <c r="AL52" i="1"/>
  <c r="AK52" i="1"/>
  <c r="AJ52" i="1"/>
  <c r="AI52" i="1"/>
  <c r="AH52" i="1"/>
  <c r="AG52" i="1"/>
  <c r="AE52" i="1"/>
  <c r="AD52" i="1"/>
  <c r="AC52" i="1"/>
  <c r="AB52" i="1"/>
  <c r="AA52" i="1"/>
  <c r="Z52" i="1"/>
  <c r="Y52" i="1"/>
  <c r="X52" i="1"/>
  <c r="W52" i="1"/>
  <c r="U52" i="1"/>
  <c r="T52" i="1"/>
  <c r="S52" i="1"/>
  <c r="R52" i="1"/>
  <c r="P52" i="1"/>
  <c r="O52" i="1"/>
  <c r="N52" i="1"/>
  <c r="M52" i="1"/>
  <c r="L52" i="1"/>
  <c r="J57" i="1" s="1"/>
  <c r="K52" i="1"/>
  <c r="CV51" i="1"/>
  <c r="CM51" i="1"/>
  <c r="CH51" i="1"/>
  <c r="CE51" i="1"/>
  <c r="BQ51" i="1"/>
  <c r="BN51" i="1"/>
  <c r="BH51" i="1"/>
  <c r="BD51" i="1"/>
  <c r="AF51" i="1"/>
  <c r="V51" i="1"/>
  <c r="Q51" i="1"/>
  <c r="J51" i="1"/>
  <c r="CX50" i="1"/>
  <c r="CW50" i="1"/>
  <c r="CT50" i="1"/>
  <c r="CS50" i="1"/>
  <c r="CR50" i="1"/>
  <c r="CQ50" i="1"/>
  <c r="CO50" i="1"/>
  <c r="CN50" i="1"/>
  <c r="CL50" i="1"/>
  <c r="CK50" i="1"/>
  <c r="CJ50" i="1"/>
  <c r="CI50" i="1"/>
  <c r="CG50" i="1"/>
  <c r="CF50" i="1"/>
  <c r="CB50" i="1"/>
  <c r="CA50" i="1"/>
  <c r="BZ50" i="1"/>
  <c r="BY50" i="1"/>
  <c r="BX50" i="1"/>
  <c r="BW50" i="1"/>
  <c r="BV50" i="1"/>
  <c r="BU50" i="1"/>
  <c r="BT50" i="1"/>
  <c r="BS50" i="1"/>
  <c r="BR50" i="1"/>
  <c r="BO50" i="1"/>
  <c r="BM50" i="1"/>
  <c r="BL50" i="1"/>
  <c r="BK50" i="1"/>
  <c r="BJ50" i="1"/>
  <c r="BI50" i="1"/>
  <c r="BG50" i="1"/>
  <c r="BF50" i="1"/>
  <c r="BE50" i="1"/>
  <c r="BB50" i="1"/>
  <c r="BA50" i="1"/>
  <c r="AZ50" i="1"/>
  <c r="AY50" i="1"/>
  <c r="AX50" i="1"/>
  <c r="AU50" i="1"/>
  <c r="AT50" i="1"/>
  <c r="AS50" i="1"/>
  <c r="AQ50" i="1"/>
  <c r="AP50" i="1"/>
  <c r="AO50" i="1"/>
  <c r="AN50" i="1"/>
  <c r="AM50" i="1"/>
  <c r="AL50" i="1"/>
  <c r="AK50" i="1"/>
  <c r="AJ50" i="1"/>
  <c r="AI50" i="1"/>
  <c r="AH50" i="1"/>
  <c r="AG50" i="1"/>
  <c r="AE50" i="1"/>
  <c r="AD50" i="1"/>
  <c r="AC50" i="1"/>
  <c r="AB50" i="1"/>
  <c r="AA50" i="1"/>
  <c r="Z50" i="1"/>
  <c r="Y50" i="1"/>
  <c r="X50" i="1"/>
  <c r="W50" i="1"/>
  <c r="U50" i="1"/>
  <c r="T50" i="1"/>
  <c r="S50" i="1"/>
  <c r="R50" i="1"/>
  <c r="P50" i="1"/>
  <c r="O50" i="1"/>
  <c r="N50" i="1"/>
  <c r="M50" i="1"/>
  <c r="L50" i="1"/>
  <c r="K50" i="1"/>
  <c r="J55" i="1" s="1"/>
  <c r="CV48" i="1"/>
  <c r="CM48" i="1"/>
  <c r="CH48" i="1"/>
  <c r="CE48" i="1"/>
  <c r="BQ48" i="1"/>
  <c r="BN48" i="1"/>
  <c r="BH48" i="1"/>
  <c r="BD48" i="1"/>
  <c r="AF48" i="1"/>
  <c r="V48" i="1"/>
  <c r="Q48" i="1"/>
  <c r="J48" i="1"/>
  <c r="CX47" i="1"/>
  <c r="CW47" i="1"/>
  <c r="CT47" i="1"/>
  <c r="CS47" i="1"/>
  <c r="CR47" i="1"/>
  <c r="CQ47" i="1"/>
  <c r="CO47" i="1"/>
  <c r="CN47" i="1"/>
  <c r="CL47" i="1"/>
  <c r="CK47" i="1"/>
  <c r="CJ47" i="1"/>
  <c r="CI47" i="1"/>
  <c r="CG47" i="1"/>
  <c r="CF47" i="1"/>
  <c r="CB47" i="1"/>
  <c r="CA47" i="1"/>
  <c r="BZ47" i="1"/>
  <c r="BY47" i="1"/>
  <c r="BX47" i="1"/>
  <c r="BW47" i="1"/>
  <c r="BV47" i="1"/>
  <c r="BU47" i="1"/>
  <c r="BT47" i="1"/>
  <c r="BS47" i="1"/>
  <c r="BR47" i="1"/>
  <c r="BO47" i="1"/>
  <c r="BM47" i="1"/>
  <c r="BL47" i="1"/>
  <c r="BK47" i="1"/>
  <c r="BJ47" i="1"/>
  <c r="BI47" i="1"/>
  <c r="BG47" i="1"/>
  <c r="BF47" i="1"/>
  <c r="BE47" i="1"/>
  <c r="BB47" i="1"/>
  <c r="BA47" i="1"/>
  <c r="AZ47" i="1"/>
  <c r="AY47" i="1"/>
  <c r="AX47" i="1"/>
  <c r="AU47" i="1"/>
  <c r="AT47" i="1"/>
  <c r="AS47" i="1"/>
  <c r="AQ47" i="1"/>
  <c r="AP47" i="1"/>
  <c r="AO47" i="1"/>
  <c r="AN47" i="1"/>
  <c r="AM47" i="1"/>
  <c r="AL47" i="1"/>
  <c r="AK47" i="1"/>
  <c r="AJ47" i="1"/>
  <c r="AI47" i="1"/>
  <c r="AH47" i="1"/>
  <c r="AG47" i="1"/>
  <c r="AE47" i="1"/>
  <c r="AD47" i="1"/>
  <c r="AC47" i="1"/>
  <c r="AB47" i="1"/>
  <c r="AA47" i="1"/>
  <c r="Z47" i="1"/>
  <c r="Y47" i="1"/>
  <c r="X47" i="1"/>
  <c r="W47" i="1"/>
  <c r="U47" i="1"/>
  <c r="T47" i="1"/>
  <c r="S47" i="1"/>
  <c r="R47" i="1"/>
  <c r="P47" i="1"/>
  <c r="O47" i="1"/>
  <c r="N47" i="1"/>
  <c r="M47" i="1"/>
  <c r="L47" i="1"/>
  <c r="K47" i="1"/>
  <c r="CV46" i="1"/>
  <c r="CM46" i="1"/>
  <c r="CH46" i="1"/>
  <c r="CE46" i="1"/>
  <c r="BQ46" i="1"/>
  <c r="BN46" i="1"/>
  <c r="BH46" i="1"/>
  <c r="BD46" i="1"/>
  <c r="AF46" i="1"/>
  <c r="V46" i="1"/>
  <c r="Q46" i="1"/>
  <c r="J46" i="1"/>
  <c r="CV43" i="1"/>
  <c r="CM43" i="1"/>
  <c r="CH43" i="1"/>
  <c r="CE43" i="1"/>
  <c r="BQ43" i="1"/>
  <c r="BN43" i="1"/>
  <c r="BH43" i="1"/>
  <c r="BD43" i="1"/>
  <c r="BB43" i="1"/>
  <c r="AA43" i="1"/>
  <c r="AA38" i="1" s="1"/>
  <c r="Q43" i="1"/>
  <c r="P43" i="1"/>
  <c r="O38" i="1"/>
  <c r="CV42" i="1"/>
  <c r="CM42" i="1"/>
  <c r="CH42" i="1"/>
  <c r="CE42" i="1"/>
  <c r="BQ42" i="1"/>
  <c r="BN42" i="1"/>
  <c r="BH42" i="1"/>
  <c r="BD42" i="1"/>
  <c r="AF42" i="1"/>
  <c r="V42" i="1"/>
  <c r="Q42" i="1"/>
  <c r="L42" i="1"/>
  <c r="CV41" i="1"/>
  <c r="CM41" i="1"/>
  <c r="CH41" i="1"/>
  <c r="CE41" i="1"/>
  <c r="BQ41" i="1"/>
  <c r="BN41" i="1"/>
  <c r="BH41" i="1"/>
  <c r="BD41" i="1"/>
  <c r="AF41" i="1"/>
  <c r="V41" i="1"/>
  <c r="Q41" i="1"/>
  <c r="CV40" i="1"/>
  <c r="CM40" i="1"/>
  <c r="CH40" i="1"/>
  <c r="CE40" i="1"/>
  <c r="BQ40" i="1"/>
  <c r="BN40" i="1"/>
  <c r="BH40" i="1"/>
  <c r="BD40" i="1"/>
  <c r="AF40" i="1"/>
  <c r="V40" i="1"/>
  <c r="S40" i="1"/>
  <c r="S38" i="1" s="1"/>
  <c r="J40" i="1"/>
  <c r="CV39" i="1"/>
  <c r="CM39" i="1"/>
  <c r="CH39" i="1"/>
  <c r="CE39" i="1"/>
  <c r="BQ39" i="1"/>
  <c r="BN39" i="1"/>
  <c r="BH39" i="1"/>
  <c r="BD39" i="1"/>
  <c r="AF39" i="1"/>
  <c r="V39" i="1"/>
  <c r="Q39" i="1"/>
  <c r="J39" i="1"/>
  <c r="CX38" i="1"/>
  <c r="CW38" i="1"/>
  <c r="CT38" i="1"/>
  <c r="CS38" i="1"/>
  <c r="CR38" i="1"/>
  <c r="CQ38" i="1"/>
  <c r="CO38" i="1"/>
  <c r="CN38" i="1"/>
  <c r="CL38" i="1"/>
  <c r="CK38" i="1"/>
  <c r="CJ38" i="1"/>
  <c r="CI38" i="1"/>
  <c r="CG38" i="1"/>
  <c r="CF38" i="1"/>
  <c r="CB38" i="1"/>
  <c r="CA38" i="1"/>
  <c r="BZ38" i="1"/>
  <c r="BY38" i="1"/>
  <c r="BX38" i="1"/>
  <c r="BW38" i="1"/>
  <c r="BV38" i="1"/>
  <c r="BU38" i="1"/>
  <c r="BT38" i="1"/>
  <c r="BS38" i="1"/>
  <c r="BR38" i="1"/>
  <c r="BO38" i="1"/>
  <c r="BM38" i="1"/>
  <c r="BL38" i="1"/>
  <c r="BK38" i="1"/>
  <c r="BJ38" i="1"/>
  <c r="BI38" i="1"/>
  <c r="BG38" i="1"/>
  <c r="BF38" i="1"/>
  <c r="BE38" i="1"/>
  <c r="BA38" i="1"/>
  <c r="AZ38" i="1"/>
  <c r="AY38" i="1"/>
  <c r="AX38" i="1"/>
  <c r="AU38" i="1"/>
  <c r="AT38" i="1"/>
  <c r="AS38" i="1"/>
  <c r="AQ38" i="1"/>
  <c r="AP38" i="1"/>
  <c r="AO38" i="1"/>
  <c r="AN38" i="1"/>
  <c r="AM38" i="1"/>
  <c r="AL38" i="1"/>
  <c r="AK38" i="1"/>
  <c r="AJ38" i="1"/>
  <c r="AI38" i="1"/>
  <c r="AH38" i="1"/>
  <c r="AG38" i="1"/>
  <c r="AE38" i="1"/>
  <c r="AD38" i="1"/>
  <c r="AC38" i="1"/>
  <c r="AB38" i="1"/>
  <c r="Z38" i="1"/>
  <c r="Y38" i="1"/>
  <c r="X38" i="1"/>
  <c r="W38" i="1"/>
  <c r="U38" i="1"/>
  <c r="T38" i="1"/>
  <c r="R38" i="1"/>
  <c r="N38" i="1"/>
  <c r="M38" i="1"/>
  <c r="K38" i="1"/>
  <c r="CV37" i="1"/>
  <c r="CM37" i="1"/>
  <c r="CH37" i="1"/>
  <c r="CE37" i="1"/>
  <c r="BQ37" i="1"/>
  <c r="BN37" i="1"/>
  <c r="BH37" i="1"/>
  <c r="BD37" i="1"/>
  <c r="AF37" i="1"/>
  <c r="V37" i="1"/>
  <c r="Q37" i="1"/>
  <c r="J37" i="1"/>
  <c r="CX36" i="1"/>
  <c r="CW36" i="1"/>
  <c r="CT36" i="1"/>
  <c r="CS36" i="1"/>
  <c r="CR36" i="1"/>
  <c r="CQ36" i="1"/>
  <c r="CO36" i="1"/>
  <c r="CN36" i="1"/>
  <c r="CL36" i="1"/>
  <c r="CK36" i="1"/>
  <c r="CJ36" i="1"/>
  <c r="CI36" i="1"/>
  <c r="CG36" i="1"/>
  <c r="CF36" i="1"/>
  <c r="CB36" i="1"/>
  <c r="CA36" i="1"/>
  <c r="BZ36" i="1"/>
  <c r="BY36" i="1"/>
  <c r="BX36" i="1"/>
  <c r="BW36" i="1"/>
  <c r="BV36" i="1"/>
  <c r="BU36" i="1"/>
  <c r="BT36" i="1"/>
  <c r="BS36" i="1"/>
  <c r="BR36" i="1"/>
  <c r="BO36" i="1"/>
  <c r="BM36" i="1"/>
  <c r="BL36" i="1"/>
  <c r="BK36" i="1"/>
  <c r="BJ36" i="1"/>
  <c r="BI36" i="1"/>
  <c r="BG36" i="1"/>
  <c r="BF36" i="1"/>
  <c r="BE36" i="1"/>
  <c r="BB36" i="1"/>
  <c r="BA36" i="1"/>
  <c r="AZ36" i="1"/>
  <c r="AY36" i="1"/>
  <c r="AX36" i="1"/>
  <c r="AU36" i="1"/>
  <c r="AT36" i="1"/>
  <c r="AS36" i="1"/>
  <c r="AQ36" i="1"/>
  <c r="AP36" i="1"/>
  <c r="AO36" i="1"/>
  <c r="AN36" i="1"/>
  <c r="AM36" i="1"/>
  <c r="AL36" i="1"/>
  <c r="AK36" i="1"/>
  <c r="AJ36" i="1"/>
  <c r="AI36" i="1"/>
  <c r="AH36" i="1"/>
  <c r="AG36" i="1"/>
  <c r="AE36" i="1"/>
  <c r="AD36" i="1"/>
  <c r="AC36" i="1"/>
  <c r="AB36" i="1"/>
  <c r="AA36" i="1"/>
  <c r="Z36" i="1"/>
  <c r="Y36" i="1"/>
  <c r="X36" i="1"/>
  <c r="W36" i="1"/>
  <c r="U36" i="1"/>
  <c r="T36" i="1"/>
  <c r="S36" i="1"/>
  <c r="R36" i="1"/>
  <c r="P36" i="1"/>
  <c r="O36" i="1"/>
  <c r="N36" i="1"/>
  <c r="M36" i="1"/>
  <c r="L36" i="1"/>
  <c r="K36" i="1"/>
  <c r="J41" i="1" s="1"/>
  <c r="I36" i="1"/>
  <c r="CV35" i="1"/>
  <c r="CM35" i="1"/>
  <c r="CH35" i="1"/>
  <c r="CE35" i="1"/>
  <c r="BN35" i="1"/>
  <c r="BH35" i="1"/>
  <c r="BD35" i="1"/>
  <c r="AQ35" i="1"/>
  <c r="CV34" i="1"/>
  <c r="CM34" i="1"/>
  <c r="CH34" i="1"/>
  <c r="CE34" i="1"/>
  <c r="BQ34" i="1"/>
  <c r="BN34" i="1"/>
  <c r="BH34" i="1"/>
  <c r="BD34" i="1"/>
  <c r="AF34" i="1"/>
  <c r="V34" i="1"/>
  <c r="Q34" i="1"/>
  <c r="J34" i="1"/>
  <c r="CV33" i="1"/>
  <c r="CM33" i="1"/>
  <c r="CH33" i="1"/>
  <c r="CE33" i="1"/>
  <c r="BQ33" i="1"/>
  <c r="BN33" i="1"/>
  <c r="BH33" i="1"/>
  <c r="BD33" i="1"/>
  <c r="AF33" i="1"/>
  <c r="V33" i="1"/>
  <c r="Q33" i="1"/>
  <c r="J33" i="1"/>
  <c r="CV32" i="1"/>
  <c r="CM32" i="1"/>
  <c r="CH32" i="1"/>
  <c r="CE32" i="1"/>
  <c r="BQ32" i="1"/>
  <c r="BN32" i="1"/>
  <c r="BH32" i="1"/>
  <c r="BD32" i="1"/>
  <c r="AF32" i="1"/>
  <c r="V32" i="1"/>
  <c r="Q32" i="1"/>
  <c r="J32" i="1"/>
  <c r="CV31" i="1"/>
  <c r="CM31" i="1"/>
  <c r="CH31" i="1"/>
  <c r="CG31" i="1"/>
  <c r="BQ31" i="1"/>
  <c r="BN31" i="1"/>
  <c r="BH31" i="1"/>
  <c r="BD31" i="1"/>
  <c r="AN31" i="1"/>
  <c r="AJ31" i="1"/>
  <c r="AI31" i="1"/>
  <c r="V31" i="1"/>
  <c r="Q31" i="1"/>
  <c r="P31" i="1"/>
  <c r="CV30" i="1"/>
  <c r="CM30" i="1"/>
  <c r="CH30" i="1"/>
  <c r="CE30" i="1"/>
  <c r="BQ30" i="1"/>
  <c r="BN30" i="1"/>
  <c r="BH30" i="1"/>
  <c r="BD30" i="1"/>
  <c r="AF30" i="1"/>
  <c r="V30" i="1"/>
  <c r="Q30" i="1"/>
  <c r="J30" i="1"/>
  <c r="CV29" i="1"/>
  <c r="CM29" i="1"/>
  <c r="CH29" i="1"/>
  <c r="CE29" i="1"/>
  <c r="BQ29" i="1"/>
  <c r="BN29" i="1"/>
  <c r="BH29" i="1"/>
  <c r="BD29" i="1"/>
  <c r="CV28" i="1"/>
  <c r="CM28" i="1"/>
  <c r="CH28" i="1"/>
  <c r="BN28" i="1"/>
  <c r="BH28" i="1"/>
  <c r="BD28" i="1"/>
  <c r="Q28" i="1"/>
  <c r="CV27" i="1"/>
  <c r="CM27" i="1"/>
  <c r="CH27" i="1"/>
  <c r="CE27" i="1"/>
  <c r="BQ27" i="1"/>
  <c r="BN27" i="1"/>
  <c r="BH27" i="1"/>
  <c r="BD27" i="1"/>
  <c r="AF27" i="1"/>
  <c r="V27" i="1"/>
  <c r="Q27" i="1"/>
  <c r="J27" i="1"/>
  <c r="CV26" i="1"/>
  <c r="CM26" i="1"/>
  <c r="CH26" i="1"/>
  <c r="CE26" i="1"/>
  <c r="BQ26" i="1"/>
  <c r="BN26" i="1"/>
  <c r="BH26" i="1"/>
  <c r="BD26" i="1"/>
  <c r="AF26" i="1"/>
  <c r="V26" i="1"/>
  <c r="Q26" i="1"/>
  <c r="J26" i="1"/>
  <c r="CV25" i="1"/>
  <c r="CM25" i="1"/>
  <c r="CH25" i="1"/>
  <c r="CG25" i="1"/>
  <c r="BQ25" i="1"/>
  <c r="BN25" i="1"/>
  <c r="BH25" i="1"/>
  <c r="BD25" i="1"/>
  <c r="AF25" i="1"/>
  <c r="AA25" i="1"/>
  <c r="Q25" i="1"/>
  <c r="P25" i="1"/>
  <c r="CV24" i="1"/>
  <c r="CM24" i="1"/>
  <c r="CH24" i="1"/>
  <c r="CE24" i="1"/>
  <c r="BQ24" i="1"/>
  <c r="BN24" i="1"/>
  <c r="BH24" i="1"/>
  <c r="BD24" i="1"/>
  <c r="AF24" i="1"/>
  <c r="V24" i="1"/>
  <c r="Q24" i="1"/>
  <c r="J24" i="1"/>
  <c r="CV23" i="1"/>
  <c r="CM23" i="1"/>
  <c r="CH23" i="1"/>
  <c r="CE23" i="1"/>
  <c r="BQ23" i="1"/>
  <c r="BN23" i="1"/>
  <c r="BH23" i="1"/>
  <c r="BD23" i="1"/>
  <c r="AF23" i="1"/>
  <c r="V23" i="1"/>
  <c r="Q23" i="1"/>
  <c r="CV22" i="1"/>
  <c r="CM22" i="1"/>
  <c r="CH22" i="1"/>
  <c r="CE22" i="1"/>
  <c r="BQ22" i="1"/>
  <c r="BN22" i="1"/>
  <c r="BH22" i="1"/>
  <c r="BD22" i="1"/>
  <c r="AF22" i="1"/>
  <c r="V22" i="1"/>
  <c r="Q22" i="1"/>
  <c r="J22" i="1"/>
  <c r="CV21" i="1"/>
  <c r="CM21" i="1"/>
  <c r="CH21" i="1"/>
  <c r="CE21" i="1"/>
  <c r="BQ21" i="1"/>
  <c r="BN21" i="1"/>
  <c r="BH21" i="1"/>
  <c r="BD21" i="1"/>
  <c r="AF21" i="1"/>
  <c r="V21" i="1"/>
  <c r="Q21" i="1"/>
  <c r="J21" i="1"/>
  <c r="CV20" i="1"/>
  <c r="CM20" i="1"/>
  <c r="CH20" i="1"/>
  <c r="CE20" i="1"/>
  <c r="BQ20" i="1"/>
  <c r="BN20" i="1"/>
  <c r="BH20" i="1"/>
  <c r="BD20" i="1"/>
  <c r="AF20" i="1"/>
  <c r="V20" i="1"/>
  <c r="Q20" i="1"/>
  <c r="P20" i="1"/>
  <c r="CV19" i="1"/>
  <c r="CM19" i="1"/>
  <c r="CH19" i="1"/>
  <c r="CE19" i="1"/>
  <c r="BQ19" i="1"/>
  <c r="BN19" i="1"/>
  <c r="BH19" i="1"/>
  <c r="BD19" i="1"/>
  <c r="AF19" i="1"/>
  <c r="V19" i="1"/>
  <c r="Q19" i="1"/>
  <c r="CX18" i="1"/>
  <c r="CW18" i="1"/>
  <c r="CT18" i="1"/>
  <c r="CS18" i="1"/>
  <c r="CR18" i="1"/>
  <c r="CQ18" i="1"/>
  <c r="CO18" i="1"/>
  <c r="CN18" i="1"/>
  <c r="CL18" i="1"/>
  <c r="CK18" i="1"/>
  <c r="CJ18" i="1"/>
  <c r="CI18" i="1"/>
  <c r="CF18" i="1"/>
  <c r="CB18" i="1"/>
  <c r="BZ18" i="1"/>
  <c r="BY18" i="1"/>
  <c r="BX18" i="1"/>
  <c r="BW18" i="1"/>
  <c r="BV18" i="1"/>
  <c r="BU18" i="1"/>
  <c r="BT18" i="1"/>
  <c r="BS18" i="1"/>
  <c r="BR18" i="1"/>
  <c r="BO18" i="1"/>
  <c r="BM18" i="1"/>
  <c r="BL18" i="1"/>
  <c r="BK18" i="1"/>
  <c r="BJ18" i="1"/>
  <c r="BI18" i="1"/>
  <c r="BG18" i="1"/>
  <c r="BF18" i="1"/>
  <c r="BE18" i="1"/>
  <c r="BA18" i="1"/>
  <c r="AZ18" i="1"/>
  <c r="AY18" i="1"/>
  <c r="AX18" i="1"/>
  <c r="AU18" i="1"/>
  <c r="AS18" i="1"/>
  <c r="AO18" i="1"/>
  <c r="AM18" i="1"/>
  <c r="AH18" i="1"/>
  <c r="AG18" i="1"/>
  <c r="AE18" i="1"/>
  <c r="AD18" i="1"/>
  <c r="AC18" i="1"/>
  <c r="AB18" i="1"/>
  <c r="W18" i="1"/>
  <c r="T18" i="1"/>
  <c r="R18" i="1"/>
  <c r="N18" i="1"/>
  <c r="M18" i="1"/>
  <c r="L18" i="1"/>
  <c r="J23" i="1" s="1"/>
  <c r="K18" i="1"/>
  <c r="CV17" i="1"/>
  <c r="CM17" i="1"/>
  <c r="CH17" i="1"/>
  <c r="CE17" i="1"/>
  <c r="BQ17" i="1"/>
  <c r="BN17" i="1"/>
  <c r="BH17" i="1"/>
  <c r="BD17" i="1"/>
  <c r="AF17" i="1"/>
  <c r="V17" i="1"/>
  <c r="Q17" i="1"/>
  <c r="CV16" i="1"/>
  <c r="CM16" i="1"/>
  <c r="CH16" i="1"/>
  <c r="CE16" i="1"/>
  <c r="BQ16" i="1"/>
  <c r="BN16" i="1"/>
  <c r="BH16" i="1"/>
  <c r="BD16" i="1"/>
  <c r="BB16" i="1"/>
  <c r="BA16" i="1"/>
  <c r="AI16" i="1"/>
  <c r="V16" i="1"/>
  <c r="Q16" i="1"/>
  <c r="CV15" i="1"/>
  <c r="CR15" i="1"/>
  <c r="CM15" i="1"/>
  <c r="CH15" i="1"/>
  <c r="CE15" i="1"/>
  <c r="CA14" i="1"/>
  <c r="BN15" i="1"/>
  <c r="BH15" i="1"/>
  <c r="BD15" i="1"/>
  <c r="AF15" i="1"/>
  <c r="X14" i="1"/>
  <c r="Q15" i="1"/>
  <c r="J15" i="1"/>
  <c r="CX14" i="1"/>
  <c r="CW14" i="1"/>
  <c r="CT14" i="1"/>
  <c r="CR14" i="1"/>
  <c r="CQ14" i="1"/>
  <c r="CO14" i="1"/>
  <c r="CN14" i="1"/>
  <c r="CL14" i="1"/>
  <c r="CK14" i="1"/>
  <c r="CJ14" i="1"/>
  <c r="CI14" i="1"/>
  <c r="CG14" i="1"/>
  <c r="CF14" i="1"/>
  <c r="CB14" i="1"/>
  <c r="BZ14" i="1"/>
  <c r="BY14" i="1"/>
  <c r="BX14" i="1"/>
  <c r="BW14" i="1"/>
  <c r="BV14" i="1"/>
  <c r="BU14" i="1"/>
  <c r="BT14" i="1"/>
  <c r="BS14" i="1"/>
  <c r="BR14" i="1"/>
  <c r="BO14" i="1"/>
  <c r="BM14" i="1"/>
  <c r="BL14" i="1"/>
  <c r="BK14" i="1"/>
  <c r="BJ14" i="1"/>
  <c r="BI14" i="1"/>
  <c r="BG14" i="1"/>
  <c r="BF14" i="1"/>
  <c r="BE14" i="1"/>
  <c r="AZ14" i="1"/>
  <c r="AY14" i="1"/>
  <c r="AX14" i="1"/>
  <c r="AU14" i="1"/>
  <c r="AT14" i="1"/>
  <c r="AS14" i="1"/>
  <c r="AQ14" i="1"/>
  <c r="AP14" i="1"/>
  <c r="AO14" i="1"/>
  <c r="AN14" i="1"/>
  <c r="AM14" i="1"/>
  <c r="AL14" i="1"/>
  <c r="AK14" i="1"/>
  <c r="AJ14" i="1"/>
  <c r="AH14" i="1"/>
  <c r="AG14" i="1"/>
  <c r="AE14" i="1"/>
  <c r="AD14" i="1"/>
  <c r="AC14" i="1"/>
  <c r="AB14" i="1"/>
  <c r="AA14" i="1"/>
  <c r="Z14" i="1"/>
  <c r="Y14" i="1"/>
  <c r="W14" i="1"/>
  <c r="U14" i="1"/>
  <c r="T14" i="1"/>
  <c r="S14" i="1"/>
  <c r="R14" i="1"/>
  <c r="P14" i="1"/>
  <c r="O14" i="1"/>
  <c r="N14" i="1"/>
  <c r="M14" i="1"/>
  <c r="L14" i="1"/>
  <c r="K14" i="1"/>
  <c r="J19" i="1" s="1"/>
  <c r="CV13" i="1"/>
  <c r="CR13" i="1"/>
  <c r="CM13" i="1"/>
  <c r="CH13" i="1"/>
  <c r="CE13" i="1"/>
  <c r="BQ13" i="1"/>
  <c r="BN13" i="1"/>
  <c r="BH13" i="1"/>
  <c r="BD13" i="1"/>
  <c r="AF13" i="1"/>
  <c r="V13" i="1"/>
  <c r="Q13" i="1"/>
  <c r="J13" i="1"/>
  <c r="CX12" i="1"/>
  <c r="CW12" i="1"/>
  <c r="CT12" i="1"/>
  <c r="CS12" i="1"/>
  <c r="CR12" i="1"/>
  <c r="CQ12" i="1"/>
  <c r="CO12" i="1"/>
  <c r="CN12" i="1"/>
  <c r="CL12" i="1"/>
  <c r="CK12" i="1"/>
  <c r="CJ12" i="1"/>
  <c r="CI12" i="1"/>
  <c r="CG12" i="1"/>
  <c r="CF12" i="1"/>
  <c r="CB12" i="1"/>
  <c r="CA12" i="1"/>
  <c r="BZ12" i="1"/>
  <c r="BY12" i="1"/>
  <c r="BX12" i="1"/>
  <c r="BW12" i="1"/>
  <c r="BV12" i="1"/>
  <c r="BU12" i="1"/>
  <c r="BT12" i="1"/>
  <c r="BS12" i="1"/>
  <c r="BR12" i="1"/>
  <c r="BO12" i="1"/>
  <c r="BM12" i="1"/>
  <c r="BL12" i="1"/>
  <c r="BK12" i="1"/>
  <c r="BJ12" i="1"/>
  <c r="BI12" i="1"/>
  <c r="BG12" i="1"/>
  <c r="BF12" i="1"/>
  <c r="BE12" i="1"/>
  <c r="BB12" i="1"/>
  <c r="BA12" i="1"/>
  <c r="AZ12" i="1"/>
  <c r="AY12" i="1"/>
  <c r="AX12" i="1"/>
  <c r="AU12" i="1"/>
  <c r="AT12" i="1"/>
  <c r="AS12" i="1"/>
  <c r="AQ12" i="1"/>
  <c r="AP12" i="1"/>
  <c r="AO12" i="1"/>
  <c r="AN12" i="1"/>
  <c r="AM12" i="1"/>
  <c r="AL12" i="1"/>
  <c r="AK12" i="1"/>
  <c r="AJ12" i="1"/>
  <c r="AI12" i="1"/>
  <c r="AH12" i="1"/>
  <c r="AG12" i="1"/>
  <c r="AE12" i="1"/>
  <c r="AD12" i="1"/>
  <c r="AC12" i="1"/>
  <c r="AB12" i="1"/>
  <c r="AA12" i="1"/>
  <c r="Z12" i="1"/>
  <c r="Y12" i="1"/>
  <c r="X12" i="1"/>
  <c r="W12" i="1"/>
  <c r="U12" i="1"/>
  <c r="T12" i="1"/>
  <c r="S12" i="1"/>
  <c r="R12" i="1"/>
  <c r="P12" i="1"/>
  <c r="O12" i="1"/>
  <c r="N12" i="1"/>
  <c r="M12" i="1"/>
  <c r="L12" i="1"/>
  <c r="K12" i="1"/>
  <c r="J17" i="1" s="1"/>
  <c r="L71" i="1"/>
  <c r="CU114" i="1"/>
  <c r="CH230" i="1"/>
  <c r="CU254" i="1"/>
  <c r="CU262" i="1"/>
  <c r="CU266" i="1"/>
  <c r="CU270" i="1"/>
  <c r="V289" i="1"/>
  <c r="Q302" i="1"/>
  <c r="BX219" i="1"/>
  <c r="CU237" i="1"/>
  <c r="CK293" i="1"/>
  <c r="CE304" i="1"/>
  <c r="AF308" i="1"/>
  <c r="BQ312" i="1"/>
  <c r="CX249" i="1"/>
  <c r="AF307" i="1"/>
  <c r="AJ171" i="1"/>
  <c r="J294" i="1"/>
  <c r="AX306" i="1"/>
  <c r="CJ306" i="1"/>
  <c r="P129" i="1"/>
  <c r="J67" i="1"/>
  <c r="CE307" i="1"/>
  <c r="CG306" i="1"/>
  <c r="CG171" i="1"/>
  <c r="CG133" i="1"/>
  <c r="CU155" i="1"/>
  <c r="CU227" i="1"/>
  <c r="BD276" i="1"/>
  <c r="J172" i="1"/>
  <c r="K171" i="1"/>
  <c r="J291" i="1"/>
  <c r="BK302" i="1" l="1"/>
  <c r="AY232" i="1"/>
  <c r="K306" i="1"/>
  <c r="J311" i="1" s="1"/>
  <c r="AA18" i="1"/>
  <c r="BQ226" i="1"/>
  <c r="CE276" i="1"/>
  <c r="CM276" i="1"/>
  <c r="BZ296" i="1"/>
  <c r="J276" i="1"/>
  <c r="J115" i="1"/>
  <c r="G115" i="1" s="1"/>
  <c r="F115" i="1" s="1"/>
  <c r="E115" i="1" s="1"/>
  <c r="AF169" i="1"/>
  <c r="J162" i="1"/>
  <c r="J169" i="1"/>
  <c r="AO166" i="1"/>
  <c r="AO160" i="1" s="1"/>
  <c r="BQ314" i="1"/>
  <c r="AF294" i="1"/>
  <c r="AX293" i="1"/>
  <c r="CW225" i="1"/>
  <c r="CU247" i="1"/>
  <c r="CU260" i="1"/>
  <c r="CU256" i="1"/>
  <c r="CU252" i="1"/>
  <c r="V173" i="1"/>
  <c r="BQ125" i="1"/>
  <c r="CU273" i="1"/>
  <c r="CU164" i="1"/>
  <c r="AF150" i="1"/>
  <c r="Q153" i="1"/>
  <c r="BH133" i="1"/>
  <c r="BD121" i="1"/>
  <c r="CU279" i="1"/>
  <c r="CU217" i="1"/>
  <c r="CU315" i="1"/>
  <c r="CU314" i="1" s="1"/>
  <c r="BH314" i="1"/>
  <c r="CU305" i="1"/>
  <c r="CV137" i="1"/>
  <c r="CE82" i="1"/>
  <c r="CV92" i="1"/>
  <c r="CU102" i="1"/>
  <c r="BD306" i="1"/>
  <c r="BV296" i="1"/>
  <c r="J304" i="1"/>
  <c r="J289" i="1"/>
  <c r="BD294" i="1"/>
  <c r="V276" i="1"/>
  <c r="J181" i="1"/>
  <c r="CU250" i="1"/>
  <c r="CU231" i="1"/>
  <c r="CU178" i="1"/>
  <c r="CE186" i="1"/>
  <c r="CU134" i="1"/>
  <c r="Q133" i="1"/>
  <c r="CU105" i="1"/>
  <c r="BD291" i="1"/>
  <c r="BN276" i="1"/>
  <c r="CE181" i="1"/>
  <c r="BH153" i="1"/>
  <c r="BQ92" i="1"/>
  <c r="G283" i="1"/>
  <c r="CM173" i="1"/>
  <c r="BD171" i="1"/>
  <c r="BN121" i="1"/>
  <c r="CV306" i="1"/>
  <c r="CV302" i="1"/>
  <c r="CR145" i="1"/>
  <c r="J192" i="1"/>
  <c r="BD304" i="1"/>
  <c r="V186" i="1"/>
  <c r="BD289" i="1"/>
  <c r="CU313" i="1"/>
  <c r="BH312" i="1"/>
  <c r="BQ308" i="1"/>
  <c r="Q308" i="1"/>
  <c r="CM304" i="1"/>
  <c r="BN304" i="1"/>
  <c r="BN294" i="1"/>
  <c r="BN293" i="1" s="1"/>
  <c r="CW293" i="1"/>
  <c r="CQ293" i="1"/>
  <c r="CI293" i="1"/>
  <c r="BY293" i="1"/>
  <c r="BN291" i="1"/>
  <c r="CU246" i="1"/>
  <c r="CG225" i="1"/>
  <c r="BB225" i="1"/>
  <c r="CJ219" i="1"/>
  <c r="CU218" i="1"/>
  <c r="AF302" i="1"/>
  <c r="O293" i="1"/>
  <c r="BN289" i="1"/>
  <c r="CU275" i="1"/>
  <c r="CU271" i="1"/>
  <c r="CU269" i="1"/>
  <c r="CU267" i="1"/>
  <c r="CU265" i="1"/>
  <c r="CU263" i="1"/>
  <c r="CU261" i="1"/>
  <c r="CU259" i="1"/>
  <c r="CU257" i="1"/>
  <c r="CU255" i="1"/>
  <c r="CU253" i="1"/>
  <c r="CU251" i="1"/>
  <c r="CU234" i="1"/>
  <c r="BQ230" i="1"/>
  <c r="AK225" i="1"/>
  <c r="CW222" i="1"/>
  <c r="J36" i="1"/>
  <c r="AF44" i="1"/>
  <c r="BQ44" i="1"/>
  <c r="CV44" i="1"/>
  <c r="CV50" i="1"/>
  <c r="CE54" i="1"/>
  <c r="J63" i="1"/>
  <c r="J60" i="1" s="1"/>
  <c r="BD63" i="1"/>
  <c r="J68" i="1"/>
  <c r="CE68" i="1"/>
  <c r="Q73" i="1"/>
  <c r="BH73" i="1"/>
  <c r="CV76" i="1"/>
  <c r="BD82" i="1"/>
  <c r="BQ84" i="1"/>
  <c r="CV84" i="1"/>
  <c r="CM89" i="1"/>
  <c r="CH92" i="1"/>
  <c r="CT100" i="1"/>
  <c r="X103" i="1"/>
  <c r="AO103" i="1"/>
  <c r="AZ103" i="1"/>
  <c r="BX103" i="1"/>
  <c r="CB103" i="1"/>
  <c r="CG103" i="1"/>
  <c r="CJ103" i="1"/>
  <c r="CL103" i="1"/>
  <c r="CH104" i="1"/>
  <c r="CH108" i="1"/>
  <c r="CV108" i="1"/>
  <c r="J110" i="1"/>
  <c r="BD110" i="1"/>
  <c r="CM110" i="1"/>
  <c r="BZ112" i="1"/>
  <c r="CG112" i="1"/>
  <c r="CL112" i="1"/>
  <c r="CO112" i="1"/>
  <c r="CV119" i="1"/>
  <c r="CM121" i="1"/>
  <c r="V125" i="1"/>
  <c r="BD125" i="1"/>
  <c r="CE125" i="1"/>
  <c r="CM139" i="1"/>
  <c r="Q141" i="1"/>
  <c r="BH141" i="1"/>
  <c r="BQ141" i="1"/>
  <c r="CH141" i="1"/>
  <c r="CV141" i="1"/>
  <c r="BH146" i="1"/>
  <c r="CV146" i="1"/>
  <c r="Q150" i="1"/>
  <c r="BQ153" i="1"/>
  <c r="CH153" i="1"/>
  <c r="CV153" i="1"/>
  <c r="CU159" i="1"/>
  <c r="CU165" i="1"/>
  <c r="BN171" i="1"/>
  <c r="BN173" i="1"/>
  <c r="CE173" i="1"/>
  <c r="J179" i="1"/>
  <c r="V179" i="1"/>
  <c r="BH179" i="1"/>
  <c r="BD186" i="1"/>
  <c r="BN186" i="1"/>
  <c r="CM186" i="1"/>
  <c r="Q190" i="1"/>
  <c r="BH190" i="1"/>
  <c r="BD192" i="1"/>
  <c r="CE192" i="1"/>
  <c r="J194" i="1"/>
  <c r="BD194" i="1"/>
  <c r="CM194" i="1"/>
  <c r="V196" i="1"/>
  <c r="CE196" i="1"/>
  <c r="AB222" i="1"/>
  <c r="CM294" i="1"/>
  <c r="J314" i="1"/>
  <c r="V314" i="1"/>
  <c r="BN314" i="1"/>
  <c r="CE314" i="1"/>
  <c r="CM314" i="1"/>
  <c r="CU118" i="1"/>
  <c r="CU122" i="1"/>
  <c r="CU163" i="1"/>
  <c r="CU274" i="1"/>
  <c r="CU306" i="1"/>
  <c r="AF306" i="1"/>
  <c r="Q44" i="1"/>
  <c r="BH44" i="1"/>
  <c r="CH44" i="1"/>
  <c r="CV47" i="1"/>
  <c r="CE52" i="1"/>
  <c r="BH302" i="1"/>
  <c r="CV12" i="1"/>
  <c r="CV36" i="1"/>
  <c r="J44" i="1"/>
  <c r="V44" i="1"/>
  <c r="BD44" i="1"/>
  <c r="BN44" i="1"/>
  <c r="CE44" i="1"/>
  <c r="CM44" i="1"/>
  <c r="CE47" i="1"/>
  <c r="J50" i="1"/>
  <c r="CV52" i="1"/>
  <c r="CU55" i="1"/>
  <c r="J56" i="1"/>
  <c r="J58" i="1"/>
  <c r="J61" i="1"/>
  <c r="CV68" i="1"/>
  <c r="BD73" i="1"/>
  <c r="CM73" i="1"/>
  <c r="CU79" i="1"/>
  <c r="BD80" i="1"/>
  <c r="CV82" i="1"/>
  <c r="CE84" i="1"/>
  <c r="BN86" i="1"/>
  <c r="AF89" i="1"/>
  <c r="H100" i="1"/>
  <c r="AL100" i="1"/>
  <c r="AP100" i="1"/>
  <c r="J101" i="1"/>
  <c r="CN103" i="1"/>
  <c r="CQ103" i="1"/>
  <c r="CS103" i="1"/>
  <c r="CW103" i="1"/>
  <c r="V104" i="1"/>
  <c r="BN104" i="1"/>
  <c r="BN103" i="1" s="1"/>
  <c r="CE104" i="1"/>
  <c r="CM104" i="1"/>
  <c r="CM108" i="1"/>
  <c r="CH110" i="1"/>
  <c r="CU111" i="1"/>
  <c r="BN116" i="1"/>
  <c r="M112" i="1"/>
  <c r="AE112" i="1"/>
  <c r="AJ112" i="1"/>
  <c r="J119" i="1"/>
  <c r="CE119" i="1"/>
  <c r="CU126" i="1"/>
  <c r="CU130" i="1"/>
  <c r="BD133" i="1"/>
  <c r="BN133" i="1"/>
  <c r="CM133" i="1"/>
  <c r="CM137" i="1"/>
  <c r="CH139" i="1"/>
  <c r="CE141" i="1"/>
  <c r="V146" i="1"/>
  <c r="BD146" i="1"/>
  <c r="CE146" i="1"/>
  <c r="CM146" i="1"/>
  <c r="BD153" i="1"/>
  <c r="BN153" i="1"/>
  <c r="BQ161" i="1"/>
  <c r="AP160" i="1"/>
  <c r="BC168" i="1"/>
  <c r="CU168" i="1"/>
  <c r="AP170" i="1"/>
  <c r="Q171" i="1"/>
  <c r="BH171" i="1"/>
  <c r="BQ171" i="1"/>
  <c r="AF173" i="1"/>
  <c r="CU174" i="1"/>
  <c r="V176" i="1"/>
  <c r="BD176" i="1"/>
  <c r="BN176" i="1"/>
  <c r="CE176" i="1"/>
  <c r="CM176" i="1"/>
  <c r="BC178" i="1"/>
  <c r="AK170" i="1"/>
  <c r="G180" i="1"/>
  <c r="AF181" i="1"/>
  <c r="BQ181" i="1"/>
  <c r="CU182" i="1"/>
  <c r="CU184" i="1"/>
  <c r="CD185" i="1"/>
  <c r="AM183" i="1"/>
  <c r="Q186" i="1"/>
  <c r="CU187" i="1"/>
  <c r="J190" i="1"/>
  <c r="CH190" i="1"/>
  <c r="CU191" i="1"/>
  <c r="CV192" i="1"/>
  <c r="Q194" i="1"/>
  <c r="AF194" i="1"/>
  <c r="BH194" i="1"/>
  <c r="BQ194" i="1"/>
  <c r="CH194" i="1"/>
  <c r="CV194" i="1"/>
  <c r="Q196" i="1"/>
  <c r="AF196" i="1"/>
  <c r="BQ196" i="1"/>
  <c r="CH196" i="1"/>
  <c r="BC199" i="1"/>
  <c r="CU199" i="1"/>
  <c r="CE198" i="1"/>
  <c r="CM198" i="1"/>
  <c r="CD201" i="1"/>
  <c r="BC202" i="1"/>
  <c r="CU202" i="1"/>
  <c r="CU203" i="1"/>
  <c r="CU205" i="1"/>
  <c r="G206" i="1"/>
  <c r="BH207" i="1"/>
  <c r="CD208" i="1"/>
  <c r="CV207" i="1"/>
  <c r="BC209" i="1"/>
  <c r="G212" i="1"/>
  <c r="CD213" i="1"/>
  <c r="CU213" i="1"/>
  <c r="CD214" i="1"/>
  <c r="CD215" i="1"/>
  <c r="BC216" i="1"/>
  <c r="CD218" i="1"/>
  <c r="K219" i="1"/>
  <c r="AL219" i="1"/>
  <c r="BE219" i="1"/>
  <c r="CI219" i="1"/>
  <c r="CS219" i="1"/>
  <c r="BD220" i="1"/>
  <c r="CM220" i="1"/>
  <c r="BA222" i="1"/>
  <c r="BW222" i="1"/>
  <c r="CK222" i="1"/>
  <c r="CT222" i="1"/>
  <c r="BC224" i="1"/>
  <c r="O225" i="1"/>
  <c r="AN225" i="1"/>
  <c r="BA225" i="1"/>
  <c r="CF225" i="1"/>
  <c r="CQ225" i="1"/>
  <c r="BN226" i="1"/>
  <c r="CE226" i="1"/>
  <c r="CM226" i="1"/>
  <c r="CD228" i="1"/>
  <c r="BN230" i="1"/>
  <c r="CD231" i="1"/>
  <c r="Q232" i="1"/>
  <c r="BC233" i="1"/>
  <c r="CD233" i="1"/>
  <c r="V232" i="1"/>
  <c r="BC234" i="1"/>
  <c r="BN232" i="1"/>
  <c r="CD234" i="1"/>
  <c r="CM232" i="1"/>
  <c r="BC236" i="1"/>
  <c r="CD236" i="1"/>
  <c r="G238" i="1"/>
  <c r="CD238" i="1"/>
  <c r="BC240" i="1"/>
  <c r="CD240" i="1"/>
  <c r="G241" i="1"/>
  <c r="BC241" i="1"/>
  <c r="CD241" i="1"/>
  <c r="CU241" i="1"/>
  <c r="G244" i="1"/>
  <c r="BC244" i="1"/>
  <c r="CD244" i="1"/>
  <c r="CU244" i="1"/>
  <c r="G243" i="1"/>
  <c r="BC243" i="1"/>
  <c r="CU243" i="1"/>
  <c r="BC245" i="1"/>
  <c r="CD245" i="1"/>
  <c r="CU245" i="1"/>
  <c r="BC246" i="1"/>
  <c r="CD246" i="1"/>
  <c r="G247" i="1"/>
  <c r="BC247" i="1"/>
  <c r="CD247" i="1"/>
  <c r="BC248" i="1"/>
  <c r="CD248" i="1"/>
  <c r="CU248" i="1"/>
  <c r="BC250" i="1"/>
  <c r="BN249" i="1"/>
  <c r="CD250" i="1"/>
  <c r="G251" i="1"/>
  <c r="BC251" i="1"/>
  <c r="CD251" i="1"/>
  <c r="BC252" i="1"/>
  <c r="BC253" i="1"/>
  <c r="BC254" i="1"/>
  <c r="BC255" i="1"/>
  <c r="CD255" i="1"/>
  <c r="BC256" i="1"/>
  <c r="CD256" i="1"/>
  <c r="G257" i="1"/>
  <c r="BC257" i="1"/>
  <c r="CD257" i="1"/>
  <c r="BC258" i="1"/>
  <c r="BC259" i="1"/>
  <c r="CD259" i="1"/>
  <c r="BC260" i="1"/>
  <c r="BC261" i="1"/>
  <c r="CD261" i="1"/>
  <c r="BC262" i="1"/>
  <c r="CD262" i="1"/>
  <c r="G263" i="1"/>
  <c r="BC263" i="1"/>
  <c r="G264" i="1"/>
  <c r="BC264" i="1"/>
  <c r="CD264" i="1"/>
  <c r="G265" i="1"/>
  <c r="BC265" i="1"/>
  <c r="CD265" i="1"/>
  <c r="G266" i="1"/>
  <c r="BC266" i="1"/>
  <c r="G267" i="1"/>
  <c r="BC267" i="1"/>
  <c r="CD267" i="1"/>
  <c r="BC268" i="1"/>
  <c r="CD268" i="1"/>
  <c r="G269" i="1"/>
  <c r="CD269" i="1"/>
  <c r="BC270" i="1"/>
  <c r="CD270" i="1"/>
  <c r="G271" i="1"/>
  <c r="BC271" i="1"/>
  <c r="CD271" i="1"/>
  <c r="BC272" i="1"/>
  <c r="CD272" i="1"/>
  <c r="Q276" i="1"/>
  <c r="AF276" i="1"/>
  <c r="BQ276" i="1"/>
  <c r="CU277" i="1"/>
  <c r="G278" i="1"/>
  <c r="BC278" i="1"/>
  <c r="CD278" i="1"/>
  <c r="CU278" i="1"/>
  <c r="G279" i="1"/>
  <c r="BC279" i="1"/>
  <c r="CD279" i="1"/>
  <c r="G280" i="1"/>
  <c r="BC280" i="1"/>
  <c r="CD280" i="1"/>
  <c r="CU280" i="1"/>
  <c r="G281" i="1"/>
  <c r="BC281" i="1"/>
  <c r="CD281" i="1"/>
  <c r="CU281" i="1"/>
  <c r="G282" i="1"/>
  <c r="BC282" i="1"/>
  <c r="CD282" i="1"/>
  <c r="CU282" i="1"/>
  <c r="BC283" i="1"/>
  <c r="CD283" i="1"/>
  <c r="CU283" i="1"/>
  <c r="G284" i="1"/>
  <c r="BC284" i="1"/>
  <c r="CD284" i="1"/>
  <c r="CU284" i="1"/>
  <c r="BC285" i="1"/>
  <c r="CD285" i="1"/>
  <c r="CU285" i="1"/>
  <c r="BC286" i="1"/>
  <c r="CD286" i="1"/>
  <c r="CU286" i="1"/>
  <c r="G287" i="1"/>
  <c r="BC287" i="1"/>
  <c r="CD287" i="1"/>
  <c r="CU287" i="1"/>
  <c r="G288" i="1"/>
  <c r="BC288" i="1"/>
  <c r="CD288" i="1"/>
  <c r="CU288" i="1"/>
  <c r="G290" i="1"/>
  <c r="AF289" i="1"/>
  <c r="BH289" i="1"/>
  <c r="BQ289" i="1"/>
  <c r="CD290" i="1"/>
  <c r="CC290" i="1" s="1"/>
  <c r="Q291" i="1"/>
  <c r="AF291" i="1"/>
  <c r="BH291" i="1"/>
  <c r="BQ291" i="1"/>
  <c r="CH291" i="1"/>
  <c r="CU292" i="1"/>
  <c r="I293" i="1"/>
  <c r="L293" i="1"/>
  <c r="N293" i="1"/>
  <c r="P293" i="1"/>
  <c r="S293" i="1"/>
  <c r="U293" i="1"/>
  <c r="X293" i="1"/>
  <c r="Z293" i="1"/>
  <c r="AB293" i="1"/>
  <c r="AD293" i="1"/>
  <c r="AG293" i="1"/>
  <c r="AI293" i="1"/>
  <c r="AK293" i="1"/>
  <c r="AM293" i="1"/>
  <c r="AO293" i="1"/>
  <c r="AQ293" i="1"/>
  <c r="AT293" i="1"/>
  <c r="AV293" i="1"/>
  <c r="AZ293" i="1"/>
  <c r="BB293" i="1"/>
  <c r="BF293" i="1"/>
  <c r="BI293" i="1"/>
  <c r="BK293" i="1"/>
  <c r="BM293" i="1"/>
  <c r="BR293" i="1"/>
  <c r="BT293" i="1"/>
  <c r="BV293" i="1"/>
  <c r="BX293" i="1"/>
  <c r="BZ293" i="1"/>
  <c r="CB293" i="1"/>
  <c r="CJ293" i="1"/>
  <c r="CL293" i="1"/>
  <c r="CO293" i="1"/>
  <c r="CR293" i="1"/>
  <c r="CT293" i="1"/>
  <c r="CX293" i="1"/>
  <c r="Q294" i="1"/>
  <c r="BH294" i="1"/>
  <c r="BQ294" i="1"/>
  <c r="CH294" i="1"/>
  <c r="CU295" i="1"/>
  <c r="G299" i="1"/>
  <c r="BC299" i="1"/>
  <c r="CD299" i="1"/>
  <c r="CU299" i="1"/>
  <c r="CD300" i="1"/>
  <c r="CU300" i="1"/>
  <c r="BC301" i="1"/>
  <c r="CU301" i="1"/>
  <c r="Z296" i="1"/>
  <c r="AG296" i="1"/>
  <c r="CS296" i="1"/>
  <c r="J302" i="1"/>
  <c r="V302" i="1"/>
  <c r="BD302" i="1"/>
  <c r="BN302" i="1"/>
  <c r="CE302" i="1"/>
  <c r="CM302" i="1"/>
  <c r="CL296" i="1"/>
  <c r="Q304" i="1"/>
  <c r="AF304" i="1"/>
  <c r="BQ304" i="1"/>
  <c r="Q306" i="1"/>
  <c r="BH306" i="1"/>
  <c r="J308" i="1"/>
  <c r="V308" i="1"/>
  <c r="BD308" i="1"/>
  <c r="CM308" i="1"/>
  <c r="V310" i="1"/>
  <c r="BD310" i="1"/>
  <c r="BN310" i="1"/>
  <c r="CM310" i="1"/>
  <c r="V312" i="1"/>
  <c r="BN312" i="1"/>
  <c r="CE312" i="1"/>
  <c r="CM312" i="1"/>
  <c r="CH314" i="1"/>
  <c r="CD305" i="1"/>
  <c r="CC305" i="1" s="1"/>
  <c r="G311" i="1"/>
  <c r="G313" i="1"/>
  <c r="BC313" i="1"/>
  <c r="G118" i="1"/>
  <c r="CD118" i="1"/>
  <c r="G122" i="1"/>
  <c r="BC122" i="1"/>
  <c r="CD122" i="1"/>
  <c r="CC122" i="1" s="1"/>
  <c r="G163" i="1"/>
  <c r="BC163" i="1"/>
  <c r="CD163" i="1"/>
  <c r="BC164" i="1"/>
  <c r="J207" i="1"/>
  <c r="BC217" i="1"/>
  <c r="CD217" i="1"/>
  <c r="G273" i="1"/>
  <c r="BC273" i="1"/>
  <c r="CD273" i="1"/>
  <c r="BC274" i="1"/>
  <c r="J28" i="1"/>
  <c r="H18" i="1"/>
  <c r="J29" i="1"/>
  <c r="V35" i="1"/>
  <c r="BQ249" i="1"/>
  <c r="AN296" i="1"/>
  <c r="J310" i="1"/>
  <c r="G305" i="1"/>
  <c r="G292" i="1"/>
  <c r="CV276" i="1"/>
  <c r="CV249" i="1"/>
  <c r="G309" i="1"/>
  <c r="BD249" i="1"/>
  <c r="CV181" i="1"/>
  <c r="CD200" i="1"/>
  <c r="AP65" i="1"/>
  <c r="H88" i="1"/>
  <c r="U88" i="1"/>
  <c r="BC127" i="1"/>
  <c r="BU124" i="1"/>
  <c r="Q129" i="1"/>
  <c r="BC148" i="1"/>
  <c r="G151" i="1"/>
  <c r="BC152" i="1"/>
  <c r="CD155" i="1"/>
  <c r="G159" i="1"/>
  <c r="BC159" i="1"/>
  <c r="BZ160" i="1"/>
  <c r="CD168" i="1"/>
  <c r="CO170" i="1"/>
  <c r="CR235" i="1"/>
  <c r="BS112" i="1"/>
  <c r="CH249" i="1"/>
  <c r="G157" i="1"/>
  <c r="CV196" i="1"/>
  <c r="CU197" i="1"/>
  <c r="CV171" i="1"/>
  <c r="CU172" i="1"/>
  <c r="BC180" i="1"/>
  <c r="BD179" i="1"/>
  <c r="BC227" i="1"/>
  <c r="BC231" i="1"/>
  <c r="BD230" i="1"/>
  <c r="CU233" i="1"/>
  <c r="CV232" i="1"/>
  <c r="BH249" i="1"/>
  <c r="BC275" i="1"/>
  <c r="BC277" i="1"/>
  <c r="BH276" i="1"/>
  <c r="CH276" i="1"/>
  <c r="CD277" i="1"/>
  <c r="CU290" i="1"/>
  <c r="CV289" i="1"/>
  <c r="BH304" i="1"/>
  <c r="BC305" i="1"/>
  <c r="CE308" i="1"/>
  <c r="CD309" i="1"/>
  <c r="CE310" i="1"/>
  <c r="CD311" i="1"/>
  <c r="CD310" i="1" s="1"/>
  <c r="R296" i="1"/>
  <c r="AW296" i="1"/>
  <c r="BC315" i="1"/>
  <c r="BD314" i="1"/>
  <c r="BN207" i="1"/>
  <c r="CE207" i="1"/>
  <c r="CM207" i="1"/>
  <c r="S18" i="1"/>
  <c r="Q29" i="1"/>
  <c r="J312" i="1"/>
  <c r="CV294" i="1"/>
  <c r="CU195" i="1"/>
  <c r="CD303" i="1"/>
  <c r="CE230" i="1"/>
  <c r="CD315" i="1"/>
  <c r="BC290" i="1"/>
  <c r="CD144" i="1"/>
  <c r="AF121" i="1"/>
  <c r="BC307" i="1"/>
  <c r="BC295" i="1"/>
  <c r="BD226" i="1"/>
  <c r="CD191" i="1"/>
  <c r="CD190" i="1" s="1"/>
  <c r="CD313" i="1"/>
  <c r="BC292" i="1"/>
  <c r="G233" i="1"/>
  <c r="G295" i="1"/>
  <c r="CD292" i="1"/>
  <c r="CD291" i="1" s="1"/>
  <c r="O18" i="1"/>
  <c r="AF35" i="1"/>
  <c r="BG160" i="1"/>
  <c r="V116" i="1"/>
  <c r="BQ116" i="1"/>
  <c r="CV116" i="1"/>
  <c r="AG112" i="1"/>
  <c r="BF112" i="1"/>
  <c r="CX112" i="1"/>
  <c r="Q121" i="1"/>
  <c r="BH121" i="1"/>
  <c r="BQ121" i="1"/>
  <c r="CH121" i="1"/>
  <c r="CV121" i="1"/>
  <c r="W166" i="1"/>
  <c r="BC132" i="1"/>
  <c r="BB161" i="1"/>
  <c r="I198" i="1"/>
  <c r="CV78" i="1"/>
  <c r="CD165" i="1"/>
  <c r="G167" i="1"/>
  <c r="BF170" i="1"/>
  <c r="CD172" i="1"/>
  <c r="G187" i="1"/>
  <c r="CD187" i="1"/>
  <c r="CD188" i="1"/>
  <c r="CD195" i="1"/>
  <c r="BH198" i="1"/>
  <c r="BC200" i="1"/>
  <c r="BC204" i="1"/>
  <c r="BC208" i="1"/>
  <c r="CH232" i="1"/>
  <c r="CD109" i="1"/>
  <c r="CC109" i="1" s="1"/>
  <c r="CD152" i="1"/>
  <c r="J154" i="1"/>
  <c r="CD157" i="1"/>
  <c r="S161" i="1"/>
  <c r="BV160" i="1"/>
  <c r="CW160" i="1"/>
  <c r="BQ166" i="1"/>
  <c r="CH166" i="1"/>
  <c r="CJ170" i="1"/>
  <c r="AY170" i="1"/>
  <c r="CR183" i="1"/>
  <c r="CU151" i="1"/>
  <c r="CV150" i="1"/>
  <c r="AA88" i="1"/>
  <c r="BS88" i="1"/>
  <c r="BU88" i="1"/>
  <c r="P173" i="1"/>
  <c r="J174" i="1"/>
  <c r="BD173" i="1"/>
  <c r="BC174" i="1"/>
  <c r="CV179" i="1"/>
  <c r="CU180" i="1"/>
  <c r="G169" i="1"/>
  <c r="P161" i="1"/>
  <c r="CW60" i="1"/>
  <c r="BR65" i="1"/>
  <c r="BY107" i="1"/>
  <c r="G109" i="1"/>
  <c r="CU46" i="1"/>
  <c r="BX145" i="1"/>
  <c r="G138" i="1"/>
  <c r="BC151" i="1"/>
  <c r="CQ160" i="1"/>
  <c r="CS160" i="1"/>
  <c r="G178" i="1"/>
  <c r="CN60" i="1"/>
  <c r="CW65" i="1"/>
  <c r="CG65" i="1"/>
  <c r="CD75" i="1"/>
  <c r="G81" i="1"/>
  <c r="G80" i="1" s="1"/>
  <c r="BC91" i="1"/>
  <c r="CD91" i="1"/>
  <c r="AH124" i="1"/>
  <c r="BO124" i="1"/>
  <c r="CJ124" i="1"/>
  <c r="BC130" i="1"/>
  <c r="CF160" i="1"/>
  <c r="BN166" i="1"/>
  <c r="BX170" i="1"/>
  <c r="Z65" i="1"/>
  <c r="N107" i="1"/>
  <c r="CU77" i="1"/>
  <c r="CU76" i="1" s="1"/>
  <c r="Q108" i="1"/>
  <c r="BH150" i="1"/>
  <c r="CH38" i="1"/>
  <c r="H60" i="1"/>
  <c r="BV65" i="1"/>
  <c r="BZ65" i="1"/>
  <c r="CB65" i="1"/>
  <c r="BC79" i="1"/>
  <c r="CD83" i="1"/>
  <c r="CC83" i="1" s="1"/>
  <c r="CD94" i="1"/>
  <c r="CD97" i="1"/>
  <c r="BC105" i="1"/>
  <c r="BC114" i="1"/>
  <c r="CD114" i="1"/>
  <c r="CC114" i="1" s="1"/>
  <c r="CW124" i="1"/>
  <c r="BC128" i="1"/>
  <c r="CD135" i="1"/>
  <c r="CD140" i="1"/>
  <c r="CD139" i="1" s="1"/>
  <c r="CA145" i="1"/>
  <c r="BC158" i="1"/>
  <c r="BC188" i="1"/>
  <c r="AN183" i="1"/>
  <c r="CE66" i="1"/>
  <c r="CD67" i="1"/>
  <c r="BH101" i="1"/>
  <c r="BC102" i="1"/>
  <c r="CH150" i="1"/>
  <c r="CD151" i="1"/>
  <c r="CU48" i="1"/>
  <c r="CU117" i="1"/>
  <c r="CU120" i="1"/>
  <c r="BD104" i="1"/>
  <c r="CD62" i="1"/>
  <c r="Y296" i="1"/>
  <c r="BG296" i="1"/>
  <c r="BM296" i="1"/>
  <c r="BT296" i="1"/>
  <c r="BX296" i="1"/>
  <c r="CB296" i="1"/>
  <c r="CI296" i="1"/>
  <c r="CE232" i="1"/>
  <c r="V133" i="1"/>
  <c r="BC185" i="1"/>
  <c r="J198" i="1"/>
  <c r="G259" i="1"/>
  <c r="G260" i="1"/>
  <c r="CG49" i="1"/>
  <c r="N60" i="1"/>
  <c r="AA65" i="1"/>
  <c r="AL65" i="1"/>
  <c r="BL65" i="1"/>
  <c r="CD87" i="1"/>
  <c r="BT88" i="1"/>
  <c r="AJ88" i="1"/>
  <c r="AY88" i="1"/>
  <c r="G114" i="1"/>
  <c r="F114" i="1" s="1"/>
  <c r="AI124" i="1"/>
  <c r="BC126" i="1"/>
  <c r="G128" i="1"/>
  <c r="AF131" i="1"/>
  <c r="G131" i="1" s="1"/>
  <c r="CI124" i="1"/>
  <c r="N145" i="1"/>
  <c r="AM145" i="1"/>
  <c r="BI160" i="1"/>
  <c r="BR160" i="1"/>
  <c r="AN170" i="1"/>
  <c r="AU170" i="1"/>
  <c r="BE170" i="1"/>
  <c r="BS170" i="1"/>
  <c r="AH170" i="1"/>
  <c r="G177" i="1"/>
  <c r="CB170" i="1"/>
  <c r="CQ170" i="1"/>
  <c r="CW170" i="1"/>
  <c r="BS183" i="1"/>
  <c r="L183" i="1"/>
  <c r="BI183" i="1"/>
  <c r="CX183" i="1"/>
  <c r="G221" i="1"/>
  <c r="G228" i="1"/>
  <c r="G237" i="1"/>
  <c r="G248" i="1"/>
  <c r="G277" i="1"/>
  <c r="G285" i="1"/>
  <c r="G286" i="1"/>
  <c r="G303" i="1"/>
  <c r="G302" i="1" s="1"/>
  <c r="AO296" i="1"/>
  <c r="BS296" i="1"/>
  <c r="W112" i="1"/>
  <c r="AY112" i="1"/>
  <c r="BR112" i="1"/>
  <c r="G272" i="1"/>
  <c r="X70" i="1"/>
  <c r="U49" i="1"/>
  <c r="CE61" i="1"/>
  <c r="BC109" i="1"/>
  <c r="AQ222" i="1"/>
  <c r="CV54" i="1"/>
  <c r="R60" i="1"/>
  <c r="AE60" i="1"/>
  <c r="S60" i="1"/>
  <c r="O65" i="1"/>
  <c r="T65" i="1"/>
  <c r="BR70" i="1"/>
  <c r="J71" i="1"/>
  <c r="V73" i="1"/>
  <c r="CD77" i="1"/>
  <c r="J80" i="1"/>
  <c r="J84" i="1"/>
  <c r="AM88" i="1"/>
  <c r="BM88" i="1"/>
  <c r="BV88" i="1"/>
  <c r="CB88" i="1"/>
  <c r="CL88" i="1"/>
  <c r="CN88" i="1"/>
  <c r="M88" i="1"/>
  <c r="W88" i="1"/>
  <c r="AE88" i="1"/>
  <c r="AN88" i="1"/>
  <c r="AU88" i="1"/>
  <c r="BE88" i="1"/>
  <c r="BO88" i="1"/>
  <c r="BY88" i="1"/>
  <c r="BC96" i="1"/>
  <c r="CU96" i="1"/>
  <c r="X100" i="1"/>
  <c r="AD100" i="1"/>
  <c r="CG100" i="1"/>
  <c r="CQ100" i="1"/>
  <c r="CW100" i="1"/>
  <c r="V101" i="1"/>
  <c r="BN101" i="1"/>
  <c r="CE101" i="1"/>
  <c r="AC103" i="1"/>
  <c r="BL103" i="1"/>
  <c r="CI103" i="1"/>
  <c r="L107" i="1"/>
  <c r="P107" i="1"/>
  <c r="S107" i="1"/>
  <c r="CI107" i="1"/>
  <c r="CN107" i="1"/>
  <c r="CW107" i="1"/>
  <c r="V108" i="1"/>
  <c r="BS107" i="1"/>
  <c r="CA107" i="1"/>
  <c r="BQ110" i="1"/>
  <c r="AF116" i="1"/>
  <c r="CD117" i="1"/>
  <c r="CM116" i="1"/>
  <c r="H112" i="1"/>
  <c r="K112" i="1"/>
  <c r="O112" i="1"/>
  <c r="T112" i="1"/>
  <c r="Y112" i="1"/>
  <c r="AC112" i="1"/>
  <c r="AH112" i="1"/>
  <c r="AN112" i="1"/>
  <c r="AS112" i="1"/>
  <c r="BA112" i="1"/>
  <c r="BJ112" i="1"/>
  <c r="BL112" i="1"/>
  <c r="BO112" i="1"/>
  <c r="BU112" i="1"/>
  <c r="BW112" i="1"/>
  <c r="CA112" i="1"/>
  <c r="CJ112" i="1"/>
  <c r="CN112" i="1"/>
  <c r="CS112" i="1"/>
  <c r="BD119" i="1"/>
  <c r="CD120" i="1"/>
  <c r="CD119" i="1" s="1"/>
  <c r="CM119" i="1"/>
  <c r="CE121" i="1"/>
  <c r="X124" i="1"/>
  <c r="AG124" i="1"/>
  <c r="AX124" i="1"/>
  <c r="BF124" i="1"/>
  <c r="BZ124" i="1"/>
  <c r="AF125" i="1"/>
  <c r="CD127" i="1"/>
  <c r="CD128" i="1"/>
  <c r="CU128" i="1"/>
  <c r="CE131" i="1"/>
  <c r="CD131" i="1" s="1"/>
  <c r="BQ133" i="1"/>
  <c r="G135" i="1"/>
  <c r="CU135" i="1"/>
  <c r="CL124" i="1"/>
  <c r="Q137" i="1"/>
  <c r="BH137" i="1"/>
  <c r="BQ137" i="1"/>
  <c r="CH137" i="1"/>
  <c r="CN124" i="1"/>
  <c r="CS124" i="1"/>
  <c r="CM141" i="1"/>
  <c r="BC143" i="1"/>
  <c r="AL145" i="1"/>
  <c r="BG145" i="1"/>
  <c r="CK145" i="1"/>
  <c r="CO145" i="1"/>
  <c r="CT145" i="1"/>
  <c r="CH146" i="1"/>
  <c r="L145" i="1"/>
  <c r="U145" i="1"/>
  <c r="AB145" i="1"/>
  <c r="BM145" i="1"/>
  <c r="BZ145" i="1"/>
  <c r="CQ145" i="1"/>
  <c r="CW145" i="1"/>
  <c r="V150" i="1"/>
  <c r="G152" i="1"/>
  <c r="BC156" i="1"/>
  <c r="CD158" i="1"/>
  <c r="AX160" i="1"/>
  <c r="BF160" i="1"/>
  <c r="BK160" i="1"/>
  <c r="CR160" i="1"/>
  <c r="CX160" i="1"/>
  <c r="CU162" i="1"/>
  <c r="BN161" i="1"/>
  <c r="AQ160" i="1"/>
  <c r="CU167" i="1"/>
  <c r="CU169" i="1"/>
  <c r="BL170" i="1"/>
  <c r="CS170" i="1"/>
  <c r="BC172" i="1"/>
  <c r="CM171" i="1"/>
  <c r="CP170" i="1"/>
  <c r="Q173" i="1"/>
  <c r="BH173" i="1"/>
  <c r="BC175" i="1"/>
  <c r="CK170" i="1"/>
  <c r="Q176" i="1"/>
  <c r="BH176" i="1"/>
  <c r="BQ176" i="1"/>
  <c r="CH176" i="1"/>
  <c r="Q179" i="1"/>
  <c r="BN179" i="1"/>
  <c r="CD180" i="1"/>
  <c r="CM179" i="1"/>
  <c r="CM181" i="1"/>
  <c r="G185" i="1"/>
  <c r="BC187" i="1"/>
  <c r="BQ186" i="1"/>
  <c r="CH186" i="1"/>
  <c r="G189" i="1"/>
  <c r="X183" i="1"/>
  <c r="AG183" i="1"/>
  <c r="AZ183" i="1"/>
  <c r="CQ183" i="1"/>
  <c r="G191" i="1"/>
  <c r="BD190" i="1"/>
  <c r="BN190" i="1"/>
  <c r="Q192" i="1"/>
  <c r="G193" i="1"/>
  <c r="BH192" i="1"/>
  <c r="CH192" i="1"/>
  <c r="V194" i="1"/>
  <c r="BN194" i="1"/>
  <c r="J196" i="1"/>
  <c r="BD196" i="1"/>
  <c r="BN196" i="1"/>
  <c r="CM196" i="1"/>
  <c r="Q198" i="1"/>
  <c r="BN198" i="1"/>
  <c r="V198" i="1"/>
  <c r="CH198" i="1"/>
  <c r="CV198" i="1"/>
  <c r="G202" i="1"/>
  <c r="CD202" i="1"/>
  <c r="CD203" i="1"/>
  <c r="BC205" i="1"/>
  <c r="CD206" i="1"/>
  <c r="CU206" i="1"/>
  <c r="CH207" i="1"/>
  <c r="CU209" i="1"/>
  <c r="BC210" i="1"/>
  <c r="CU210" i="1"/>
  <c r="CD212" i="1"/>
  <c r="BC214" i="1"/>
  <c r="CU214" i="1"/>
  <c r="CD216" i="1"/>
  <c r="H219" i="1"/>
  <c r="O219" i="1"/>
  <c r="R219" i="1"/>
  <c r="T219" i="1"/>
  <c r="AA219" i="1"/>
  <c r="AC219" i="1"/>
  <c r="AH219" i="1"/>
  <c r="AP219" i="1"/>
  <c r="AS219" i="1"/>
  <c r="AU219" i="1"/>
  <c r="BA219" i="1"/>
  <c r="BG219" i="1"/>
  <c r="BL219" i="1"/>
  <c r="BO219" i="1"/>
  <c r="BW219" i="1"/>
  <c r="BY219" i="1"/>
  <c r="CA219" i="1"/>
  <c r="CK219" i="1"/>
  <c r="CR219" i="1"/>
  <c r="CX219" i="1"/>
  <c r="AF220" i="1"/>
  <c r="BH220" i="1"/>
  <c r="CU221" i="1"/>
  <c r="I222" i="1"/>
  <c r="L222" i="1"/>
  <c r="S222" i="1"/>
  <c r="U222" i="1"/>
  <c r="Z222" i="1"/>
  <c r="AD222" i="1"/>
  <c r="AI222" i="1"/>
  <c r="AK222" i="1"/>
  <c r="AT222" i="1"/>
  <c r="AX222" i="1"/>
  <c r="BF222" i="1"/>
  <c r="BI222" i="1"/>
  <c r="BM222" i="1"/>
  <c r="BT222" i="1"/>
  <c r="BX222" i="1"/>
  <c r="BZ222" i="1"/>
  <c r="CJ222" i="1"/>
  <c r="CL222" i="1"/>
  <c r="CN222" i="1"/>
  <c r="CX222" i="1"/>
  <c r="Q223" i="1"/>
  <c r="BH223" i="1"/>
  <c r="CH223" i="1"/>
  <c r="H225" i="1"/>
  <c r="M225" i="1"/>
  <c r="R225" i="1"/>
  <c r="W225" i="1"/>
  <c r="Y225" i="1"/>
  <c r="AE225" i="1"/>
  <c r="AH225" i="1"/>
  <c r="AJ225" i="1"/>
  <c r="AP225" i="1"/>
  <c r="AS225" i="1"/>
  <c r="AU225" i="1"/>
  <c r="AY225" i="1"/>
  <c r="BE225" i="1"/>
  <c r="BJ225" i="1"/>
  <c r="BO225" i="1"/>
  <c r="BU225" i="1"/>
  <c r="BY225" i="1"/>
  <c r="CA225" i="1"/>
  <c r="CK225" i="1"/>
  <c r="CO225" i="1"/>
  <c r="Q226" i="1"/>
  <c r="G231" i="1"/>
  <c r="BD207" i="1"/>
  <c r="CV186" i="1"/>
  <c r="CW183" i="1"/>
  <c r="G184" i="1"/>
  <c r="G182" i="1"/>
  <c r="CD178" i="1"/>
  <c r="CL170" i="1"/>
  <c r="CF170" i="1"/>
  <c r="CE166" i="1"/>
  <c r="V166" i="1"/>
  <c r="CV226" i="1"/>
  <c r="CD209" i="1"/>
  <c r="G208" i="1"/>
  <c r="CU193" i="1"/>
  <c r="CV176" i="1"/>
  <c r="CV166" i="1"/>
  <c r="BD166" i="1"/>
  <c r="K153" i="1"/>
  <c r="J158" i="1" s="1"/>
  <c r="G158" i="1" s="1"/>
  <c r="BD150" i="1"/>
  <c r="CV190" i="1"/>
  <c r="CV173" i="1"/>
  <c r="CE150" i="1"/>
  <c r="J150" i="1"/>
  <c r="BQ146" i="1"/>
  <c r="CV133" i="1"/>
  <c r="CV129" i="1"/>
  <c r="G123" i="1"/>
  <c r="G120" i="1"/>
  <c r="G102" i="1"/>
  <c r="G101" i="1" s="1"/>
  <c r="CU93" i="1"/>
  <c r="G90" i="1"/>
  <c r="CE73" i="1"/>
  <c r="CU51" i="1"/>
  <c r="CU138" i="1"/>
  <c r="CV125" i="1"/>
  <c r="CV110" i="1"/>
  <c r="CV104" i="1"/>
  <c r="Q92" i="1"/>
  <c r="BD89" i="1"/>
  <c r="BD66" i="1"/>
  <c r="CI60" i="1"/>
  <c r="L38" i="1"/>
  <c r="J43" i="1" s="1"/>
  <c r="BB38" i="1"/>
  <c r="BH226" i="1"/>
  <c r="CH226" i="1"/>
  <c r="CV220" i="1"/>
  <c r="BC218" i="1"/>
  <c r="AF207" i="1"/>
  <c r="CL183" i="1"/>
  <c r="K183" i="1"/>
  <c r="J188" i="1" s="1"/>
  <c r="J186" i="1" s="1"/>
  <c r="BC213" i="1"/>
  <c r="CD211" i="1"/>
  <c r="BQ207" i="1"/>
  <c r="BZ183" i="1"/>
  <c r="BC197" i="1"/>
  <c r="BC193" i="1"/>
  <c r="BC189" i="1"/>
  <c r="AF186" i="1"/>
  <c r="AF176" i="1"/>
  <c r="BG170" i="1"/>
  <c r="BA170" i="1"/>
  <c r="AW170" i="1"/>
  <c r="AS170" i="1"/>
  <c r="CH173" i="1"/>
  <c r="AZ170" i="1"/>
  <c r="AL170" i="1"/>
  <c r="T170" i="1"/>
  <c r="CB160" i="1"/>
  <c r="BX160" i="1"/>
  <c r="BT160" i="1"/>
  <c r="AC160" i="1"/>
  <c r="CD182" i="1"/>
  <c r="CC182" i="1" s="1"/>
  <c r="AE170" i="1"/>
  <c r="CD174" i="1"/>
  <c r="BH161" i="1"/>
  <c r="CL160" i="1"/>
  <c r="AZ160" i="1"/>
  <c r="CD159" i="1"/>
  <c r="CM153" i="1"/>
  <c r="BC155" i="1"/>
  <c r="BC154" i="1"/>
  <c r="BC153" i="1" s="1"/>
  <c r="CH133" i="1"/>
  <c r="BC134" i="1"/>
  <c r="BD129" i="1"/>
  <c r="Q125" i="1"/>
  <c r="CD105" i="1"/>
  <c r="BC97" i="1"/>
  <c r="BJ170" i="1"/>
  <c r="CV161" i="1"/>
  <c r="CD162" i="1"/>
  <c r="CM150" i="1"/>
  <c r="CH129" i="1"/>
  <c r="BH92" i="1"/>
  <c r="CD85" i="1"/>
  <c r="CD79" i="1"/>
  <c r="CC79" i="1" s="1"/>
  <c r="BD76" i="1"/>
  <c r="BN73" i="1"/>
  <c r="AG49" i="1"/>
  <c r="CX65" i="1"/>
  <c r="AU65" i="1"/>
  <c r="W65" i="1"/>
  <c r="CD32" i="1"/>
  <c r="J230" i="1"/>
  <c r="CD227" i="1"/>
  <c r="G205" i="1"/>
  <c r="G203" i="1"/>
  <c r="G201" i="1"/>
  <c r="G199" i="1"/>
  <c r="BD198" i="1"/>
  <c r="CD197" i="1"/>
  <c r="CD193" i="1"/>
  <c r="CD189" i="1"/>
  <c r="CD177" i="1"/>
  <c r="CD175" i="1"/>
  <c r="CE171" i="1"/>
  <c r="BC169" i="1"/>
  <c r="CD167" i="1"/>
  <c r="BD161" i="1"/>
  <c r="BC157" i="1"/>
  <c r="CD156" i="1"/>
  <c r="V141" i="1"/>
  <c r="CD106" i="1"/>
  <c r="BZ170" i="1"/>
  <c r="BV170" i="1"/>
  <c r="BN150" i="1"/>
  <c r="CD143" i="1"/>
  <c r="BC136" i="1"/>
  <c r="BN129" i="1"/>
  <c r="CH125" i="1"/>
  <c r="BC123" i="1"/>
  <c r="CE71" i="1"/>
  <c r="CI65" i="1"/>
  <c r="AX65" i="1"/>
  <c r="AN65" i="1"/>
  <c r="AH65" i="1"/>
  <c r="BS49" i="1"/>
  <c r="J121" i="1"/>
  <c r="V121" i="1"/>
  <c r="BC228" i="1"/>
  <c r="BC215" i="1"/>
  <c r="Q207" i="1"/>
  <c r="CD204" i="1"/>
  <c r="BG183" i="1"/>
  <c r="CD184" i="1"/>
  <c r="BM160" i="1"/>
  <c r="G155" i="1"/>
  <c r="CX145" i="1"/>
  <c r="Y183" i="1"/>
  <c r="CD126" i="1"/>
  <c r="CQ124" i="1"/>
  <c r="CD123" i="1"/>
  <c r="BE112" i="1"/>
  <c r="CD102" i="1"/>
  <c r="CJ88" i="1"/>
  <c r="P88" i="1"/>
  <c r="K65" i="1"/>
  <c r="CO65" i="1"/>
  <c r="Y65" i="1"/>
  <c r="CG129" i="1"/>
  <c r="BR124" i="1"/>
  <c r="AA112" i="1"/>
  <c r="U107" i="1"/>
  <c r="J108" i="1"/>
  <c r="BG88" i="1"/>
  <c r="AS88" i="1"/>
  <c r="BD56" i="1"/>
  <c r="CH161" i="1"/>
  <c r="G204" i="1"/>
  <c r="G200" i="1"/>
  <c r="CO183" i="1"/>
  <c r="AP112" i="1"/>
  <c r="R112" i="1"/>
  <c r="BH186" i="1"/>
  <c r="V153" i="1"/>
  <c r="CF145" i="1"/>
  <c r="G143" i="1"/>
  <c r="CD134" i="1"/>
  <c r="G134" i="1"/>
  <c r="BY112" i="1"/>
  <c r="CQ107" i="1"/>
  <c r="CG107" i="1"/>
  <c r="BL107" i="1"/>
  <c r="CB145" i="1"/>
  <c r="AZ145" i="1"/>
  <c r="BD141" i="1"/>
  <c r="CE116" i="1"/>
  <c r="G111" i="1"/>
  <c r="BX88" i="1"/>
  <c r="T88" i="1"/>
  <c r="AG70" i="1"/>
  <c r="CR65" i="1"/>
  <c r="AZ60" i="1"/>
  <c r="AA183" i="1"/>
  <c r="CW112" i="1"/>
  <c r="BB88" i="1"/>
  <c r="CD205" i="1"/>
  <c r="CL145" i="1"/>
  <c r="AC70" i="1"/>
  <c r="BD181" i="1"/>
  <c r="CD210" i="1"/>
  <c r="BC195" i="1"/>
  <c r="BY145" i="1"/>
  <c r="AL112" i="1"/>
  <c r="CT160" i="1"/>
  <c r="AA225" i="1"/>
  <c r="BQ223" i="1"/>
  <c r="CB222" i="1"/>
  <c r="BB222" i="1"/>
  <c r="Y219" i="1"/>
  <c r="CU204" i="1"/>
  <c r="CU200" i="1"/>
  <c r="V181" i="1"/>
  <c r="CU177" i="1"/>
  <c r="AF137" i="1"/>
  <c r="Q110" i="1"/>
  <c r="CT225" i="1"/>
  <c r="BS225" i="1"/>
  <c r="AM222" i="1"/>
  <c r="P222" i="1"/>
  <c r="CT219" i="1"/>
  <c r="BS219" i="1"/>
  <c r="CU201" i="1"/>
  <c r="AF192" i="1"/>
  <c r="CE179" i="1"/>
  <c r="CM101" i="1"/>
  <c r="CD46" i="1"/>
  <c r="G53" i="1"/>
  <c r="F53" i="1" s="1"/>
  <c r="BC59" i="1"/>
  <c r="CD53" i="1"/>
  <c r="CD52" i="1" s="1"/>
  <c r="G85" i="1"/>
  <c r="CV304" i="1"/>
  <c r="AF43" i="1"/>
  <c r="Y49" i="1"/>
  <c r="CA49" i="1"/>
  <c r="CD33" i="1"/>
  <c r="Y88" i="1"/>
  <c r="AZ70" i="1"/>
  <c r="W11" i="1"/>
  <c r="O88" i="1"/>
  <c r="BT49" i="1"/>
  <c r="G106" i="1"/>
  <c r="CD90" i="1"/>
  <c r="CU132" i="1"/>
  <c r="O107" i="1"/>
  <c r="AP103" i="1"/>
  <c r="Y103" i="1"/>
  <c r="CU157" i="1"/>
  <c r="BN139" i="1"/>
  <c r="CH119" i="1"/>
  <c r="AC107" i="1"/>
  <c r="CA103" i="1"/>
  <c r="BG103" i="1"/>
  <c r="CU99" i="1"/>
  <c r="CU95" i="1"/>
  <c r="BD101" i="1"/>
  <c r="V80" i="1"/>
  <c r="BC120" i="1"/>
  <c r="J42" i="1"/>
  <c r="CU101" i="1"/>
  <c r="CS229" i="1"/>
  <c r="CD40" i="1"/>
  <c r="BD38" i="1"/>
  <c r="AE65" i="1"/>
  <c r="K49" i="1"/>
  <c r="BF70" i="1"/>
  <c r="BJ65" i="1"/>
  <c r="BW49" i="1"/>
  <c r="CD42" i="1"/>
  <c r="BD18" i="1"/>
  <c r="AT70" i="1"/>
  <c r="BA88" i="1"/>
  <c r="AY49" i="1"/>
  <c r="BV49" i="1"/>
  <c r="CS107" i="1"/>
  <c r="CK107" i="1"/>
  <c r="CG88" i="1"/>
  <c r="BZ88" i="1"/>
  <c r="BR88" i="1"/>
  <c r="AQ70" i="1"/>
  <c r="S65" i="1"/>
  <c r="X112" i="1"/>
  <c r="CD111" i="1"/>
  <c r="CC111" i="1" s="1"/>
  <c r="AQ60" i="1"/>
  <c r="CX60" i="1"/>
  <c r="CU144" i="1"/>
  <c r="AL103" i="1"/>
  <c r="T103" i="1"/>
  <c r="CN100" i="1"/>
  <c r="BY60" i="1"/>
  <c r="CU154" i="1"/>
  <c r="BQ150" i="1"/>
  <c r="V139" i="1"/>
  <c r="BH119" i="1"/>
  <c r="AF104" i="1"/>
  <c r="BW103" i="1"/>
  <c r="CU98" i="1"/>
  <c r="CU94" i="1"/>
  <c r="CE110" i="1"/>
  <c r="CE14" i="1"/>
  <c r="AO49" i="1"/>
  <c r="CD34" i="1"/>
  <c r="BU49" i="1"/>
  <c r="AC88" i="1"/>
  <c r="Z70" i="1"/>
  <c r="BL88" i="1"/>
  <c r="CA88" i="1"/>
  <c r="K88" i="1"/>
  <c r="AK70" i="1"/>
  <c r="BV70" i="1"/>
  <c r="R65" i="1"/>
  <c r="CS70" i="1"/>
  <c r="I65" i="1"/>
  <c r="CU143" i="1"/>
  <c r="AH103" i="1"/>
  <c r="O103" i="1"/>
  <c r="CU152" i="1"/>
  <c r="BD137" i="1"/>
  <c r="Q119" i="1"/>
  <c r="BN108" i="1"/>
  <c r="BS103" i="1"/>
  <c r="CU97" i="1"/>
  <c r="AL88" i="1"/>
  <c r="CM80" i="1"/>
  <c r="CQ112" i="1"/>
  <c r="V119" i="1"/>
  <c r="BL145" i="1"/>
  <c r="CU147" i="1"/>
  <c r="CU148" i="1"/>
  <c r="CU149" i="1"/>
  <c r="AA145" i="1"/>
  <c r="CU188" i="1"/>
  <c r="CU189" i="1"/>
  <c r="CH312" i="1"/>
  <c r="AO70" i="1"/>
  <c r="CD74" i="1"/>
  <c r="AS103" i="1"/>
  <c r="AY103" i="1"/>
  <c r="CT103" i="1"/>
  <c r="BC106" i="1"/>
  <c r="X107" i="1"/>
  <c r="AB107" i="1"/>
  <c r="BD108" i="1"/>
  <c r="AS107" i="1"/>
  <c r="V110" i="1"/>
  <c r="BD139" i="1"/>
  <c r="CE139" i="1"/>
  <c r="BC177" i="1"/>
  <c r="BQ179" i="1"/>
  <c r="CD199" i="1"/>
  <c r="CU208" i="1"/>
  <c r="G209" i="1"/>
  <c r="BC211" i="1"/>
  <c r="CU211" i="1"/>
  <c r="BC212" i="1"/>
  <c r="CU212" i="1"/>
  <c r="CU215" i="1"/>
  <c r="CU216" i="1"/>
  <c r="M219" i="1"/>
  <c r="W219" i="1"/>
  <c r="AE219" i="1"/>
  <c r="AJ219" i="1"/>
  <c r="AN219" i="1"/>
  <c r="AY219" i="1"/>
  <c r="BJ219" i="1"/>
  <c r="BU219" i="1"/>
  <c r="CF219" i="1"/>
  <c r="CO219" i="1"/>
  <c r="Q220" i="1"/>
  <c r="CH220" i="1"/>
  <c r="N222" i="1"/>
  <c r="X222" i="1"/>
  <c r="AG222" i="1"/>
  <c r="AO222" i="1"/>
  <c r="AZ222" i="1"/>
  <c r="BK222" i="1"/>
  <c r="BV222" i="1"/>
  <c r="CG222" i="1"/>
  <c r="CQ222" i="1"/>
  <c r="AF223" i="1"/>
  <c r="K225" i="1"/>
  <c r="T225" i="1"/>
  <c r="AC225" i="1"/>
  <c r="AL225" i="1"/>
  <c r="BG225" i="1"/>
  <c r="BW225" i="1"/>
  <c r="CI225" i="1"/>
  <c r="CR225" i="1"/>
  <c r="AF226" i="1"/>
  <c r="CU228" i="1"/>
  <c r="BD232" i="1"/>
  <c r="G236" i="1"/>
  <c r="BC237" i="1"/>
  <c r="BC238" i="1"/>
  <c r="CU238" i="1"/>
  <c r="CU240" i="1"/>
  <c r="CD243" i="1"/>
  <c r="G245" i="1"/>
  <c r="CG293" i="1"/>
  <c r="CN293" i="1"/>
  <c r="CE294" i="1"/>
  <c r="CD295" i="1"/>
  <c r="G300" i="1"/>
  <c r="CD301" i="1"/>
  <c r="BQ302" i="1"/>
  <c r="BQ306" i="1"/>
  <c r="T296" i="1"/>
  <c r="BC309" i="1"/>
  <c r="BH308" i="1"/>
  <c r="CU311" i="1"/>
  <c r="AG60" i="1"/>
  <c r="AT60" i="1"/>
  <c r="BM60" i="1"/>
  <c r="M65" i="1"/>
  <c r="BO65" i="1"/>
  <c r="CD98" i="1"/>
  <c r="T100" i="1"/>
  <c r="BS100" i="1"/>
  <c r="BW100" i="1"/>
  <c r="CX100" i="1"/>
  <c r="CB124" i="1"/>
  <c r="BH129" i="1"/>
  <c r="AL129" i="1"/>
  <c r="BC135" i="1"/>
  <c r="Q166" i="1"/>
  <c r="BC167" i="1"/>
  <c r="BQ173" i="1"/>
  <c r="CU175" i="1"/>
  <c r="BN192" i="1"/>
  <c r="CM192" i="1"/>
  <c r="CT183" i="1"/>
  <c r="G195" i="1"/>
  <c r="AO183" i="1"/>
  <c r="G197" i="1"/>
  <c r="BH196" i="1"/>
  <c r="Q289" i="1"/>
  <c r="CH289" i="1"/>
  <c r="AS293" i="1"/>
  <c r="BS293" i="1"/>
  <c r="CH82" i="1"/>
  <c r="BN84" i="1"/>
  <c r="BN125" i="1"/>
  <c r="CM125" i="1"/>
  <c r="BC162" i="1"/>
  <c r="BC165" i="1"/>
  <c r="CM190" i="1"/>
  <c r="V190" i="1"/>
  <c r="CD253" i="1"/>
  <c r="G255" i="1"/>
  <c r="BC269" i="1"/>
  <c r="V28" i="1"/>
  <c r="V29" i="1"/>
  <c r="H50" i="1"/>
  <c r="H82" i="1"/>
  <c r="H104" i="1"/>
  <c r="BQ191" i="1"/>
  <c r="CB198" i="1"/>
  <c r="AD249" i="1"/>
  <c r="AU112" i="1"/>
  <c r="Z18" i="1"/>
  <c r="AF28" i="1"/>
  <c r="BQ28" i="1"/>
  <c r="AF29" i="1"/>
  <c r="BB18" i="1"/>
  <c r="H38" i="1"/>
  <c r="H54" i="1"/>
  <c r="H68" i="1"/>
  <c r="H76" i="1"/>
  <c r="H86" i="1"/>
  <c r="BD117" i="1"/>
  <c r="H125" i="1"/>
  <c r="H129" i="1"/>
  <c r="AT161" i="1"/>
  <c r="CG161" i="1"/>
  <c r="V162" i="1"/>
  <c r="I176" i="1"/>
  <c r="K249" i="1"/>
  <c r="J254" i="1" s="1"/>
  <c r="I12" i="1"/>
  <c r="CA18" i="1"/>
  <c r="I18" i="1"/>
  <c r="H36" i="1"/>
  <c r="H137" i="1"/>
  <c r="H146" i="1"/>
  <c r="Y161" i="1"/>
  <c r="AF162" i="1"/>
  <c r="I166" i="1"/>
  <c r="I186" i="1"/>
  <c r="CA190" i="1"/>
  <c r="CU289" i="1"/>
  <c r="CD23" i="1"/>
  <c r="BC13" i="1"/>
  <c r="G37" i="1"/>
  <c r="BC46" i="1"/>
  <c r="G48" i="1"/>
  <c r="CD51" i="1"/>
  <c r="BC53" i="1"/>
  <c r="G55" i="1"/>
  <c r="BC55" i="1"/>
  <c r="CD55" i="1"/>
  <c r="G57" i="1"/>
  <c r="CD57" i="1"/>
  <c r="CD56" i="1" s="1"/>
  <c r="G59" i="1"/>
  <c r="CD59" i="1"/>
  <c r="BC62" i="1"/>
  <c r="BC67" i="1"/>
  <c r="BC72" i="1"/>
  <c r="BD312" i="1"/>
  <c r="BC77" i="1"/>
  <c r="AX70" i="1"/>
  <c r="CX49" i="1"/>
  <c r="CV73" i="1"/>
  <c r="BT65" i="1"/>
  <c r="N49" i="1"/>
  <c r="CS11" i="1"/>
  <c r="AB11" i="1"/>
  <c r="BZ49" i="1"/>
  <c r="BJ60" i="1"/>
  <c r="AL60" i="1"/>
  <c r="P49" i="1"/>
  <c r="G33" i="1"/>
  <c r="CI70" i="1"/>
  <c r="CF60" i="1"/>
  <c r="AL49" i="1"/>
  <c r="CT60" i="1"/>
  <c r="BU60" i="1"/>
  <c r="CG18" i="1"/>
  <c r="CD37" i="1"/>
  <c r="G69" i="1"/>
  <c r="CU53" i="1"/>
  <c r="AU49" i="1"/>
  <c r="AE49" i="1"/>
  <c r="G41" i="1"/>
  <c r="AM65" i="1"/>
  <c r="S49" i="1"/>
  <c r="G27" i="1"/>
  <c r="BB49" i="1"/>
  <c r="AT65" i="1"/>
  <c r="X65" i="1"/>
  <c r="P60" i="1"/>
  <c r="CV61" i="1"/>
  <c r="BQ38" i="1"/>
  <c r="AS49" i="1"/>
  <c r="AK49" i="1"/>
  <c r="AC49" i="1"/>
  <c r="AI65" i="1"/>
  <c r="O49" i="1"/>
  <c r="BC32" i="1"/>
  <c r="AZ49" i="1"/>
  <c r="CK65" i="1"/>
  <c r="BB65" i="1"/>
  <c r="AD65" i="1"/>
  <c r="BY49" i="1"/>
  <c r="BF49" i="1"/>
  <c r="BC34" i="1"/>
  <c r="BT70" i="1"/>
  <c r="P70" i="1"/>
  <c r="G62" i="1"/>
  <c r="CF49" i="1"/>
  <c r="CU74" i="1"/>
  <c r="BM49" i="1"/>
  <c r="CD35" i="1"/>
  <c r="BJ11" i="1"/>
  <c r="BR49" i="1"/>
  <c r="CQ49" i="1"/>
  <c r="BW70" i="1"/>
  <c r="AI60" i="1"/>
  <c r="CO60" i="1"/>
  <c r="BC40" i="1"/>
  <c r="AM49" i="1"/>
  <c r="W49" i="1"/>
  <c r="BD68" i="1"/>
  <c r="CM222" i="1"/>
  <c r="G74" i="1"/>
  <c r="CU62" i="1"/>
  <c r="BC75" i="1"/>
  <c r="CK60" i="1"/>
  <c r="G39" i="1"/>
  <c r="CE76" i="1"/>
  <c r="BQ73" i="1"/>
  <c r="AQ49" i="1"/>
  <c r="AI49" i="1"/>
  <c r="AA49" i="1"/>
  <c r="CD43" i="1"/>
  <c r="M49" i="1"/>
  <c r="CM38" i="1"/>
  <c r="BC31" i="1"/>
  <c r="AX49" i="1"/>
  <c r="AZ65" i="1"/>
  <c r="AB65" i="1"/>
  <c r="L60" i="1"/>
  <c r="BC39" i="1"/>
  <c r="BO11" i="1"/>
  <c r="BB70" i="1"/>
  <c r="AD70" i="1"/>
  <c r="CD69" i="1"/>
  <c r="CT65" i="1"/>
  <c r="N65" i="1"/>
  <c r="BI49" i="1"/>
  <c r="BC29" i="1"/>
  <c r="AK11" i="1"/>
  <c r="BC74" i="1"/>
  <c r="AX60" i="1"/>
  <c r="CJ49" i="1"/>
  <c r="AY70" i="1"/>
  <c r="AM60" i="1"/>
  <c r="J171" i="1"/>
  <c r="BC312" i="1"/>
  <c r="CF11" i="1"/>
  <c r="AL11" i="1"/>
  <c r="BC37" i="1"/>
  <c r="BF11" i="1"/>
  <c r="BC35" i="1"/>
  <c r="CD28" i="1"/>
  <c r="U11" i="1"/>
  <c r="BD36" i="1"/>
  <c r="CD20" i="1"/>
  <c r="CT11" i="1"/>
  <c r="AY11" i="1"/>
  <c r="N11" i="1"/>
  <c r="CR49" i="1"/>
  <c r="AN49" i="1"/>
  <c r="CK49" i="1"/>
  <c r="CD41" i="1"/>
  <c r="BK49" i="1"/>
  <c r="AK60" i="1"/>
  <c r="BC27" i="1"/>
  <c r="CG170" i="1"/>
  <c r="CC118" i="1"/>
  <c r="G34" i="1"/>
  <c r="G23" i="1"/>
  <c r="BD14" i="1"/>
  <c r="BC41" i="1"/>
  <c r="CD30" i="1"/>
  <c r="AZ11" i="1"/>
  <c r="BV11" i="1"/>
  <c r="AE11" i="1"/>
  <c r="X49" i="1"/>
  <c r="CW49" i="1"/>
  <c r="J52" i="1"/>
  <c r="AO60" i="1"/>
  <c r="CO49" i="1"/>
  <c r="CT49" i="1"/>
  <c r="BU11" i="1"/>
  <c r="AH49" i="1"/>
  <c r="P18" i="1"/>
  <c r="CC265" i="1"/>
  <c r="AU124" i="1"/>
  <c r="CC282" i="1"/>
  <c r="BB153" i="1"/>
  <c r="CE190" i="1"/>
  <c r="Q314" i="1"/>
  <c r="AF61" i="1"/>
  <c r="CE108" i="1"/>
  <c r="AU153" i="1"/>
  <c r="BN181" i="1"/>
  <c r="CH308" i="1"/>
  <c r="CU108" i="1"/>
  <c r="F288" i="1"/>
  <c r="CD237" i="1"/>
  <c r="CD13" i="1"/>
  <c r="CV38" i="1"/>
  <c r="CV312" i="1"/>
  <c r="CE274" i="1"/>
  <c r="BC51" i="1"/>
  <c r="F247" i="1"/>
  <c r="BC179" i="1"/>
  <c r="CD302" i="1"/>
  <c r="CU232" i="1"/>
  <c r="CU308" i="1"/>
  <c r="AX296" i="1"/>
  <c r="BC23" i="1"/>
  <c r="AI18" i="1"/>
  <c r="G30" i="1"/>
  <c r="BC20" i="1"/>
  <c r="AT11" i="1"/>
  <c r="CL11" i="1"/>
  <c r="BR11" i="1"/>
  <c r="AM11" i="1"/>
  <c r="Y11" i="1"/>
  <c r="CB49" i="1"/>
  <c r="AJ49" i="1"/>
  <c r="CS49" i="1"/>
  <c r="CI49" i="1"/>
  <c r="BC42" i="1"/>
  <c r="G32" i="1"/>
  <c r="CD39" i="1"/>
  <c r="BC57" i="1"/>
  <c r="AP49" i="1"/>
  <c r="T49" i="1"/>
  <c r="BN308" i="1"/>
  <c r="CM219" i="1"/>
  <c r="V293" i="1"/>
  <c r="J293" i="1"/>
  <c r="J12" i="1"/>
  <c r="G24" i="1"/>
  <c r="CD22" i="1"/>
  <c r="BK11" i="1"/>
  <c r="AF31" i="1"/>
  <c r="BC21" i="1"/>
  <c r="BC16" i="1"/>
  <c r="BZ11" i="1"/>
  <c r="BE11" i="1"/>
  <c r="AG11" i="1"/>
  <c r="R11" i="1"/>
  <c r="AB49" i="1"/>
  <c r="BE49" i="1"/>
  <c r="CN49" i="1"/>
  <c r="BC33" i="1"/>
  <c r="BJ49" i="1"/>
  <c r="AD11" i="1"/>
  <c r="G13" i="1"/>
  <c r="CD15" i="1"/>
  <c r="AF16" i="1"/>
  <c r="CH310" i="1"/>
  <c r="AF274" i="1"/>
  <c r="BC19" i="1"/>
  <c r="BH82" i="1"/>
  <c r="Q146" i="1"/>
  <c r="CM66" i="1"/>
  <c r="V68" i="1"/>
  <c r="CH103" i="1"/>
  <c r="BM11" i="1"/>
  <c r="M11" i="1"/>
  <c r="CD19" i="1"/>
  <c r="Q14" i="1"/>
  <c r="CR11" i="1"/>
  <c r="CJ11" i="1"/>
  <c r="BX11" i="1"/>
  <c r="AS11" i="1"/>
  <c r="BW11" i="1"/>
  <c r="BL11" i="1"/>
  <c r="CW11" i="1"/>
  <c r="G19" i="1"/>
  <c r="BC25" i="1"/>
  <c r="BH76" i="1"/>
  <c r="CC75" i="1"/>
  <c r="CC209" i="1"/>
  <c r="AF38" i="1"/>
  <c r="CM103" i="1"/>
  <c r="CC175" i="1"/>
  <c r="CD17" i="1"/>
  <c r="K11" i="1"/>
  <c r="AH11" i="1"/>
  <c r="CI11" i="1"/>
  <c r="CO11" i="1"/>
  <c r="BG11" i="1"/>
  <c r="AO11" i="1"/>
  <c r="BS11" i="1"/>
  <c r="T11" i="1"/>
  <c r="CM14" i="1"/>
  <c r="BY65" i="1"/>
  <c r="CS65" i="1"/>
  <c r="CH66" i="1"/>
  <c r="AF68" i="1"/>
  <c r="AF76" i="1"/>
  <c r="CU304" i="1"/>
  <c r="CU54" i="1"/>
  <c r="BC17" i="1"/>
  <c r="CX11" i="1"/>
  <c r="BI11" i="1"/>
  <c r="CN11" i="1"/>
  <c r="CB11" i="1"/>
  <c r="BT11" i="1"/>
  <c r="AC11" i="1"/>
  <c r="AP11" i="1"/>
  <c r="BN14" i="1"/>
  <c r="CU84" i="1"/>
  <c r="CC236" i="1"/>
  <c r="CC155" i="1"/>
  <c r="S11" i="1"/>
  <c r="AB70" i="1"/>
  <c r="AF12" i="1"/>
  <c r="BQ12" i="1"/>
  <c r="CH14" i="1"/>
  <c r="BA14" i="1"/>
  <c r="BH18" i="1"/>
  <c r="BC24" i="1"/>
  <c r="BC26" i="1"/>
  <c r="J31" i="1"/>
  <c r="AJ18" i="1"/>
  <c r="V36" i="1"/>
  <c r="BN36" i="1"/>
  <c r="CM36" i="1"/>
  <c r="AF47" i="1"/>
  <c r="BQ47" i="1"/>
  <c r="BD50" i="1"/>
  <c r="CE50" i="1"/>
  <c r="Q52" i="1"/>
  <c r="BH52" i="1"/>
  <c r="CH52" i="1"/>
  <c r="V54" i="1"/>
  <c r="BN54" i="1"/>
  <c r="Z49" i="1"/>
  <c r="AD49" i="1"/>
  <c r="CE56" i="1"/>
  <c r="AF58" i="1"/>
  <c r="BQ58" i="1"/>
  <c r="BD61" i="1"/>
  <c r="V63" i="1"/>
  <c r="BN63" i="1"/>
  <c r="CM63" i="1"/>
  <c r="AC65" i="1"/>
  <c r="BA65" i="1"/>
  <c r="BG65" i="1"/>
  <c r="CF65" i="1"/>
  <c r="Q66" i="1"/>
  <c r="BH66" i="1"/>
  <c r="Q68" i="1"/>
  <c r="CU69" i="1"/>
  <c r="BD71" i="1"/>
  <c r="Q76" i="1"/>
  <c r="CH76" i="1"/>
  <c r="V78" i="1"/>
  <c r="BD78" i="1"/>
  <c r="BQ78" i="1"/>
  <c r="AM70" i="1"/>
  <c r="Q80" i="1"/>
  <c r="CH80" i="1"/>
  <c r="V82" i="1"/>
  <c r="BN82" i="1"/>
  <c r="CM82" i="1"/>
  <c r="AF84" i="1"/>
  <c r="Q86" i="1"/>
  <c r="CH86" i="1"/>
  <c r="AF92" i="1"/>
  <c r="L100" i="1"/>
  <c r="P100" i="1"/>
  <c r="U100" i="1"/>
  <c r="Z100" i="1"/>
  <c r="AI100" i="1"/>
  <c r="AM100" i="1"/>
  <c r="AQ100" i="1"/>
  <c r="AX100" i="1"/>
  <c r="BB100" i="1"/>
  <c r="BI100" i="1"/>
  <c r="BM100" i="1"/>
  <c r="BT100" i="1"/>
  <c r="BX100" i="1"/>
  <c r="CB100" i="1"/>
  <c r="CJ100" i="1"/>
  <c r="CS100" i="1"/>
  <c r="BZ103" i="1"/>
  <c r="M103" i="1"/>
  <c r="R103" i="1"/>
  <c r="W103" i="1"/>
  <c r="AA103" i="1"/>
  <c r="AE103" i="1"/>
  <c r="AJ103" i="1"/>
  <c r="AN103" i="1"/>
  <c r="BE103" i="1"/>
  <c r="BJ103" i="1"/>
  <c r="BO103" i="1"/>
  <c r="BU103" i="1"/>
  <c r="BY103" i="1"/>
  <c r="CF103" i="1"/>
  <c r="CK103" i="1"/>
  <c r="CO103" i="1"/>
  <c r="Q104" i="1"/>
  <c r="BH104" i="1"/>
  <c r="I107" i="1"/>
  <c r="CJ107" i="1"/>
  <c r="AF108" i="1"/>
  <c r="BQ108" i="1"/>
  <c r="Q113" i="1"/>
  <c r="BH113" i="1"/>
  <c r="CH113" i="1"/>
  <c r="Q116" i="1"/>
  <c r="BH116" i="1"/>
  <c r="CH116" i="1"/>
  <c r="AO112" i="1"/>
  <c r="BV112" i="1"/>
  <c r="CF112" i="1"/>
  <c r="CK112" i="1"/>
  <c r="CT112" i="1"/>
  <c r="N124" i="1"/>
  <c r="S124" i="1"/>
  <c r="AB124" i="1"/>
  <c r="AO124" i="1"/>
  <c r="AT124" i="1"/>
  <c r="AZ124" i="1"/>
  <c r="BK124" i="1"/>
  <c r="BV124" i="1"/>
  <c r="BH125" i="1"/>
  <c r="T124" i="1"/>
  <c r="Y124" i="1"/>
  <c r="AC124" i="1"/>
  <c r="AP124" i="1"/>
  <c r="BA124" i="1"/>
  <c r="BG124" i="1"/>
  <c r="BL124" i="1"/>
  <c r="BS124" i="1"/>
  <c r="BW124" i="1"/>
  <c r="CD130" i="1"/>
  <c r="AK129" i="1"/>
  <c r="AF139" i="1"/>
  <c r="BQ139" i="1"/>
  <c r="CU140" i="1"/>
  <c r="CD142" i="1"/>
  <c r="G144" i="1"/>
  <c r="CE154" i="1"/>
  <c r="CE194" i="1"/>
  <c r="I219" i="1"/>
  <c r="N219" i="1"/>
  <c r="S219" i="1"/>
  <c r="X219" i="1"/>
  <c r="AB219" i="1"/>
  <c r="AG219" i="1"/>
  <c r="AK219" i="1"/>
  <c r="AO219" i="1"/>
  <c r="AT219" i="1"/>
  <c r="AZ219" i="1"/>
  <c r="BF219" i="1"/>
  <c r="BK219" i="1"/>
  <c r="BR219" i="1"/>
  <c r="BV219" i="1"/>
  <c r="BZ219" i="1"/>
  <c r="CG219" i="1"/>
  <c r="CL219" i="1"/>
  <c r="CQ219" i="1"/>
  <c r="CW219" i="1"/>
  <c r="V220" i="1"/>
  <c r="BN220" i="1"/>
  <c r="K222" i="1"/>
  <c r="J227" i="1" s="1"/>
  <c r="J226" i="1" s="1"/>
  <c r="O222" i="1"/>
  <c r="T222" i="1"/>
  <c r="Y222" i="1"/>
  <c r="AC222" i="1"/>
  <c r="AH222" i="1"/>
  <c r="AL222" i="1"/>
  <c r="AP222" i="1"/>
  <c r="AU222" i="1"/>
  <c r="BG222" i="1"/>
  <c r="BL222" i="1"/>
  <c r="BS222" i="1"/>
  <c r="CA222" i="1"/>
  <c r="CI222" i="1"/>
  <c r="CS222" i="1"/>
  <c r="BD223" i="1"/>
  <c r="CU224" i="1"/>
  <c r="L225" i="1"/>
  <c r="P225" i="1"/>
  <c r="U225" i="1"/>
  <c r="Z225" i="1"/>
  <c r="AD225" i="1"/>
  <c r="AI225" i="1"/>
  <c r="AM225" i="1"/>
  <c r="AQ225" i="1"/>
  <c r="AX225" i="1"/>
  <c r="BI225" i="1"/>
  <c r="BM225" i="1"/>
  <c r="BT225" i="1"/>
  <c r="BX225" i="1"/>
  <c r="CB225" i="1"/>
  <c r="CJ225" i="1"/>
  <c r="CN225" i="1"/>
  <c r="CS225" i="1"/>
  <c r="BH232" i="1"/>
  <c r="BQ232" i="1"/>
  <c r="L235" i="1"/>
  <c r="T235" i="1"/>
  <c r="AG235" i="1"/>
  <c r="AN235" i="1"/>
  <c r="AS235" i="1"/>
  <c r="AW235" i="1"/>
  <c r="BA235" i="1"/>
  <c r="BI235" i="1"/>
  <c r="BM235" i="1"/>
  <c r="BT235" i="1"/>
  <c r="BX235" i="1"/>
  <c r="CB235" i="1"/>
  <c r="CK235" i="1"/>
  <c r="CQ235" i="1"/>
  <c r="CW235" i="1"/>
  <c r="K293" i="1"/>
  <c r="J298" i="1" s="1"/>
  <c r="G298" i="1" s="1"/>
  <c r="F298" i="1" s="1"/>
  <c r="E298" i="1" s="1"/>
  <c r="T293" i="1"/>
  <c r="Y293" i="1"/>
  <c r="AC293" i="1"/>
  <c r="AL293" i="1"/>
  <c r="AP293" i="1"/>
  <c r="AU293" i="1"/>
  <c r="AY293" i="1"/>
  <c r="BE293" i="1"/>
  <c r="BJ293" i="1"/>
  <c r="BO293" i="1"/>
  <c r="BU293" i="1"/>
  <c r="V297" i="1"/>
  <c r="BN297" i="1"/>
  <c r="CM297" i="1"/>
  <c r="AF314" i="1"/>
  <c r="BC303" i="1"/>
  <c r="G220" i="1"/>
  <c r="J100" i="1"/>
  <c r="CU50" i="1"/>
  <c r="CV103" i="1"/>
  <c r="BQ225" i="1"/>
  <c r="CG145" i="1"/>
  <c r="BC101" i="1"/>
  <c r="G137" i="1"/>
  <c r="X11" i="1"/>
  <c r="CC231" i="1"/>
  <c r="CX235" i="1"/>
  <c r="Q225" i="1"/>
  <c r="BQ219" i="1"/>
  <c r="CU113" i="1"/>
  <c r="BD12" i="1"/>
  <c r="CE12" i="1"/>
  <c r="CU13" i="1"/>
  <c r="V15" i="1"/>
  <c r="BB14" i="1"/>
  <c r="CU17" i="1"/>
  <c r="V25" i="1"/>
  <c r="AN18" i="1"/>
  <c r="CU31" i="1"/>
  <c r="CU32" i="1"/>
  <c r="CU33" i="1"/>
  <c r="CU34" i="1"/>
  <c r="AQ18" i="1"/>
  <c r="AF36" i="1"/>
  <c r="BQ36" i="1"/>
  <c r="CU37" i="1"/>
  <c r="CU39" i="1"/>
  <c r="CU40" i="1"/>
  <c r="CU41" i="1"/>
  <c r="CU42" i="1"/>
  <c r="V43" i="1"/>
  <c r="J47" i="1"/>
  <c r="BD47" i="1"/>
  <c r="BH50" i="1"/>
  <c r="V52" i="1"/>
  <c r="BN52" i="1"/>
  <c r="CM52" i="1"/>
  <c r="AF54" i="1"/>
  <c r="Q56" i="1"/>
  <c r="BH56" i="1"/>
  <c r="CH56" i="1"/>
  <c r="BD58" i="1"/>
  <c r="CE58" i="1"/>
  <c r="AJ60" i="1"/>
  <c r="AN60" i="1"/>
  <c r="AS60" i="1"/>
  <c r="AY60" i="1"/>
  <c r="BE60" i="1"/>
  <c r="Q61" i="1"/>
  <c r="BH61" i="1"/>
  <c r="CH61" i="1"/>
  <c r="BQ63" i="1"/>
  <c r="BS65" i="1"/>
  <c r="BW65" i="1"/>
  <c r="CQ65" i="1"/>
  <c r="V66" i="1"/>
  <c r="BN66" i="1"/>
  <c r="Q71" i="1"/>
  <c r="BH71" i="1"/>
  <c r="CH71" i="1"/>
  <c r="T70" i="1"/>
  <c r="CU75" i="1"/>
  <c r="V76" i="1"/>
  <c r="BN76" i="1"/>
  <c r="CM76" i="1"/>
  <c r="BN80" i="1"/>
  <c r="AF82" i="1"/>
  <c r="BQ82" i="1"/>
  <c r="CU83" i="1"/>
  <c r="V86" i="1"/>
  <c r="CM86" i="1"/>
  <c r="AH88" i="1"/>
  <c r="AP88" i="1"/>
  <c r="BW88" i="1"/>
  <c r="CI88" i="1"/>
  <c r="CR88" i="1"/>
  <c r="CX88" i="1"/>
  <c r="CU91" i="1"/>
  <c r="BD92" i="1"/>
  <c r="CE92" i="1"/>
  <c r="M100" i="1"/>
  <c r="R100" i="1"/>
  <c r="W100" i="1"/>
  <c r="AA100" i="1"/>
  <c r="AE100" i="1"/>
  <c r="AJ100" i="1"/>
  <c r="AN100" i="1"/>
  <c r="AS100" i="1"/>
  <c r="AY100" i="1"/>
  <c r="BE100" i="1"/>
  <c r="BJ100" i="1"/>
  <c r="BO100" i="1"/>
  <c r="BU100" i="1"/>
  <c r="BY100" i="1"/>
  <c r="CF100" i="1"/>
  <c r="CK100" i="1"/>
  <c r="CO100" i="1"/>
  <c r="Q101" i="1"/>
  <c r="CH101" i="1"/>
  <c r="N103" i="1"/>
  <c r="S103" i="1"/>
  <c r="AB103" i="1"/>
  <c r="AG103" i="1"/>
  <c r="AK103" i="1"/>
  <c r="AT103" i="1"/>
  <c r="BF103" i="1"/>
  <c r="BK103" i="1"/>
  <c r="BR103" i="1"/>
  <c r="BV103" i="1"/>
  <c r="K107" i="1"/>
  <c r="T107" i="1"/>
  <c r="Y107" i="1"/>
  <c r="AH107" i="1"/>
  <c r="AL107" i="1"/>
  <c r="AP107" i="1"/>
  <c r="AU107" i="1"/>
  <c r="BA107" i="1"/>
  <c r="BG107" i="1"/>
  <c r="BW107" i="1"/>
  <c r="BN110" i="1"/>
  <c r="V113" i="1"/>
  <c r="BN113" i="1"/>
  <c r="CM113" i="1"/>
  <c r="BN119" i="1"/>
  <c r="V137" i="1"/>
  <c r="BN137" i="1"/>
  <c r="J139" i="1"/>
  <c r="S145" i="1"/>
  <c r="X145" i="1"/>
  <c r="AG145" i="1"/>
  <c r="AK145" i="1"/>
  <c r="AO145" i="1"/>
  <c r="AT145" i="1"/>
  <c r="BF145" i="1"/>
  <c r="BK145" i="1"/>
  <c r="BR145" i="1"/>
  <c r="BV145" i="1"/>
  <c r="T145" i="1"/>
  <c r="Y145" i="1"/>
  <c r="AC145" i="1"/>
  <c r="AH145" i="1"/>
  <c r="AP145" i="1"/>
  <c r="BA145" i="1"/>
  <c r="BS145" i="1"/>
  <c r="O153" i="1"/>
  <c r="AF154" i="1"/>
  <c r="AS160" i="1"/>
  <c r="AY160" i="1"/>
  <c r="BE160" i="1"/>
  <c r="BJ160" i="1"/>
  <c r="BO160" i="1"/>
  <c r="BU160" i="1"/>
  <c r="BY160" i="1"/>
  <c r="CK160" i="1"/>
  <c r="CO160" i="1"/>
  <c r="BH166" i="1"/>
  <c r="CH171" i="1"/>
  <c r="Q181" i="1"/>
  <c r="CH181" i="1"/>
  <c r="M235" i="1"/>
  <c r="AC235" i="1"/>
  <c r="AH235" i="1"/>
  <c r="AO235" i="1"/>
  <c r="AT235" i="1"/>
  <c r="AX235" i="1"/>
  <c r="BE235" i="1"/>
  <c r="BJ235" i="1"/>
  <c r="BO235" i="1"/>
  <c r="BU235" i="1"/>
  <c r="BY235" i="1"/>
  <c r="CF235" i="1"/>
  <c r="CL235" i="1"/>
  <c r="AF297" i="1"/>
  <c r="BQ297" i="1"/>
  <c r="CV297" i="1"/>
  <c r="AY297" i="1"/>
  <c r="V306" i="1"/>
  <c r="CV308" i="1"/>
  <c r="CV310" i="1"/>
  <c r="Q310" i="1"/>
  <c r="Q312" i="1"/>
  <c r="I50" i="1"/>
  <c r="I54" i="1"/>
  <c r="I61" i="1"/>
  <c r="I73" i="1"/>
  <c r="I86" i="1"/>
  <c r="I104" i="1"/>
  <c r="I137" i="1"/>
  <c r="I146" i="1"/>
  <c r="H161" i="1"/>
  <c r="Q164" i="1"/>
  <c r="U166" i="1"/>
  <c r="H181" i="1"/>
  <c r="H198" i="1"/>
  <c r="H235" i="1"/>
  <c r="Y249" i="1"/>
  <c r="J274" i="1"/>
  <c r="V274" i="1"/>
  <c r="Z249" i="1"/>
  <c r="BG116" i="1"/>
  <c r="AF164" i="1"/>
  <c r="AF168" i="1"/>
  <c r="BB249" i="1"/>
  <c r="AF275" i="1"/>
  <c r="CE164" i="1"/>
  <c r="BQ201" i="1"/>
  <c r="CG249" i="1"/>
  <c r="CE275" i="1"/>
  <c r="BC314" i="1"/>
  <c r="F204" i="1"/>
  <c r="CU302" i="1"/>
  <c r="Q222" i="1"/>
  <c r="BY11" i="1"/>
  <c r="CK11" i="1"/>
  <c r="Q12" i="1"/>
  <c r="BH12" i="1"/>
  <c r="CH12" i="1"/>
  <c r="CQ11" i="1"/>
  <c r="BQ15" i="1"/>
  <c r="CD16" i="1"/>
  <c r="CU19" i="1"/>
  <c r="CU20" i="1"/>
  <c r="CU21" i="1"/>
  <c r="CU22" i="1"/>
  <c r="CU23" i="1"/>
  <c r="CU24" i="1"/>
  <c r="CU25" i="1"/>
  <c r="CU26" i="1"/>
  <c r="CU27" i="1"/>
  <c r="CU29" i="1"/>
  <c r="CE31" i="1"/>
  <c r="CU35" i="1"/>
  <c r="CE36" i="1"/>
  <c r="CU43" i="1"/>
  <c r="Q47" i="1"/>
  <c r="BH47" i="1"/>
  <c r="CH47" i="1"/>
  <c r="CH50" i="1"/>
  <c r="V50" i="1"/>
  <c r="BN50" i="1"/>
  <c r="CM50" i="1"/>
  <c r="AF52" i="1"/>
  <c r="BQ52" i="1"/>
  <c r="BX49" i="1"/>
  <c r="J54" i="1"/>
  <c r="BD54" i="1"/>
  <c r="CH54" i="1"/>
  <c r="AT49" i="1"/>
  <c r="V56" i="1"/>
  <c r="BN56" i="1"/>
  <c r="CM56" i="1"/>
  <c r="Q58" i="1"/>
  <c r="BH58" i="1"/>
  <c r="CH58" i="1"/>
  <c r="V61" i="1"/>
  <c r="BN61" i="1"/>
  <c r="CM61" i="1"/>
  <c r="AJ65" i="1"/>
  <c r="AS65" i="1"/>
  <c r="AY65" i="1"/>
  <c r="BE65" i="1"/>
  <c r="CA65" i="1"/>
  <c r="AF66" i="1"/>
  <c r="BH68" i="1"/>
  <c r="CH68" i="1"/>
  <c r="V72" i="1"/>
  <c r="BN71" i="1"/>
  <c r="CM71" i="1"/>
  <c r="BQ76" i="1"/>
  <c r="CE78" i="1"/>
  <c r="AF78" i="1"/>
  <c r="BH78" i="1"/>
  <c r="CH78" i="1"/>
  <c r="AF80" i="1"/>
  <c r="BQ80" i="1"/>
  <c r="J83" i="1"/>
  <c r="Q84" i="1"/>
  <c r="CH84" i="1"/>
  <c r="AF86" i="1"/>
  <c r="BQ86" i="1"/>
  <c r="CV86" i="1"/>
  <c r="I100" i="1"/>
  <c r="N100" i="1"/>
  <c r="S100" i="1"/>
  <c r="AB100" i="1"/>
  <c r="AG100" i="1"/>
  <c r="AK100" i="1"/>
  <c r="AO100" i="1"/>
  <c r="AT100" i="1"/>
  <c r="AZ100" i="1"/>
  <c r="BF100" i="1"/>
  <c r="BK100" i="1"/>
  <c r="BR100" i="1"/>
  <c r="BV100" i="1"/>
  <c r="BZ100" i="1"/>
  <c r="CL100" i="1"/>
  <c r="K103" i="1"/>
  <c r="AU103" i="1"/>
  <c r="BA103" i="1"/>
  <c r="CR103" i="1"/>
  <c r="CX103" i="1"/>
  <c r="BQ104" i="1"/>
  <c r="CU106" i="1"/>
  <c r="Z107" i="1"/>
  <c r="AD107" i="1"/>
  <c r="BH108" i="1"/>
  <c r="AF110" i="1"/>
  <c r="AF113" i="1"/>
  <c r="BQ113" i="1"/>
  <c r="CV113" i="1"/>
  <c r="AD112" i="1"/>
  <c r="BT112" i="1"/>
  <c r="BX112" i="1"/>
  <c r="CB112" i="1"/>
  <c r="CI112" i="1"/>
  <c r="CR112" i="1"/>
  <c r="AF119" i="1"/>
  <c r="BQ119" i="1"/>
  <c r="CU123" i="1"/>
  <c r="L124" i="1"/>
  <c r="U124" i="1"/>
  <c r="Z124" i="1"/>
  <c r="AD124" i="1"/>
  <c r="AM124" i="1"/>
  <c r="AQ124" i="1"/>
  <c r="BB124" i="1"/>
  <c r="BI124" i="1"/>
  <c r="BM124" i="1"/>
  <c r="BT124" i="1"/>
  <c r="BX124" i="1"/>
  <c r="CU127" i="1"/>
  <c r="R124" i="1"/>
  <c r="W124" i="1"/>
  <c r="AA124" i="1"/>
  <c r="AE124" i="1"/>
  <c r="AS124" i="1"/>
  <c r="AY124" i="1"/>
  <c r="BE124" i="1"/>
  <c r="BJ124" i="1"/>
  <c r="V129" i="1"/>
  <c r="AN129" i="1"/>
  <c r="CU131" i="1"/>
  <c r="Q139" i="1"/>
  <c r="AF146" i="1"/>
  <c r="P153" i="1"/>
  <c r="AK160" i="1"/>
  <c r="CM161" i="1"/>
  <c r="J176" i="1"/>
  <c r="V192" i="1"/>
  <c r="L219" i="1"/>
  <c r="P219" i="1"/>
  <c r="U219" i="1"/>
  <c r="Z219" i="1"/>
  <c r="AD219" i="1"/>
  <c r="AI219" i="1"/>
  <c r="AM219" i="1"/>
  <c r="AQ219" i="1"/>
  <c r="AX219" i="1"/>
  <c r="BB219" i="1"/>
  <c r="BI219" i="1"/>
  <c r="BM219" i="1"/>
  <c r="BT219" i="1"/>
  <c r="CB219" i="1"/>
  <c r="CN219" i="1"/>
  <c r="J220" i="1"/>
  <c r="H222" i="1"/>
  <c r="M222" i="1"/>
  <c r="R222" i="1"/>
  <c r="W222" i="1"/>
  <c r="AA222" i="1"/>
  <c r="AE222" i="1"/>
  <c r="AJ222" i="1"/>
  <c r="AN222" i="1"/>
  <c r="AS222" i="1"/>
  <c r="AY222" i="1"/>
  <c r="BE222" i="1"/>
  <c r="BJ222" i="1"/>
  <c r="BO222" i="1"/>
  <c r="BU222" i="1"/>
  <c r="BY222" i="1"/>
  <c r="CF222" i="1"/>
  <c r="CO222" i="1"/>
  <c r="V223" i="1"/>
  <c r="BN223" i="1"/>
  <c r="I225" i="1"/>
  <c r="N225" i="1"/>
  <c r="S225" i="1"/>
  <c r="X225" i="1"/>
  <c r="AB225" i="1"/>
  <c r="AG225" i="1"/>
  <c r="AO225" i="1"/>
  <c r="AT225" i="1"/>
  <c r="AZ225" i="1"/>
  <c r="BF225" i="1"/>
  <c r="BK225" i="1"/>
  <c r="BR225" i="1"/>
  <c r="BV225" i="1"/>
  <c r="V226" i="1"/>
  <c r="V230" i="1"/>
  <c r="CM230" i="1"/>
  <c r="N235" i="1"/>
  <c r="AP235" i="1"/>
  <c r="AU235" i="1"/>
  <c r="AY235" i="1"/>
  <c r="BF235" i="1"/>
  <c r="BK235" i="1"/>
  <c r="BR235" i="1"/>
  <c r="BV235" i="1"/>
  <c r="BZ235" i="1"/>
  <c r="CI235" i="1"/>
  <c r="H293" i="1"/>
  <c r="M293" i="1"/>
  <c r="R293" i="1"/>
  <c r="W293" i="1"/>
  <c r="AA293" i="1"/>
  <c r="AE293" i="1"/>
  <c r="AJ293" i="1"/>
  <c r="AN293" i="1"/>
  <c r="AW293" i="1"/>
  <c r="BA293" i="1"/>
  <c r="BG293" i="1"/>
  <c r="BL293" i="1"/>
  <c r="BW293" i="1"/>
  <c r="BD297" i="1"/>
  <c r="CE297" i="1"/>
  <c r="CT306" i="1"/>
  <c r="G304" i="1"/>
  <c r="CC168" i="1"/>
  <c r="CE103" i="1"/>
  <c r="BD219" i="1"/>
  <c r="CD61" i="1"/>
  <c r="CC67" i="1"/>
  <c r="AF219" i="1"/>
  <c r="V12" i="1"/>
  <c r="BN12" i="1"/>
  <c r="CM12" i="1"/>
  <c r="CU15" i="1"/>
  <c r="AI14" i="1"/>
  <c r="J20" i="1"/>
  <c r="J25" i="1"/>
  <c r="CE25" i="1"/>
  <c r="CU30" i="1"/>
  <c r="Q36" i="1"/>
  <c r="BH36" i="1"/>
  <c r="CH36" i="1"/>
  <c r="Q40" i="1"/>
  <c r="P38" i="1"/>
  <c r="V47" i="1"/>
  <c r="CM47" i="1"/>
  <c r="AF50" i="1"/>
  <c r="BQ50" i="1"/>
  <c r="BD52" i="1"/>
  <c r="Q54" i="1"/>
  <c r="BH54" i="1"/>
  <c r="CM54" i="1"/>
  <c r="AF56" i="1"/>
  <c r="BQ56" i="1"/>
  <c r="CU57" i="1"/>
  <c r="AV49" i="1"/>
  <c r="V58" i="1"/>
  <c r="BN58" i="1"/>
  <c r="CM58" i="1"/>
  <c r="U60" i="1"/>
  <c r="AH60" i="1"/>
  <c r="AP60" i="1"/>
  <c r="AU60" i="1"/>
  <c r="BA60" i="1"/>
  <c r="BW60" i="1"/>
  <c r="CA60" i="1"/>
  <c r="CR60" i="1"/>
  <c r="BQ61" i="1"/>
  <c r="Q63" i="1"/>
  <c r="CH63" i="1"/>
  <c r="BU65" i="1"/>
  <c r="CJ65" i="1"/>
  <c r="CU67" i="1"/>
  <c r="BX65" i="1"/>
  <c r="BN68" i="1"/>
  <c r="CM68" i="1"/>
  <c r="AF72" i="1"/>
  <c r="BQ71" i="1"/>
  <c r="CF70" i="1"/>
  <c r="CK70" i="1"/>
  <c r="CH73" i="1"/>
  <c r="J76" i="1"/>
  <c r="Q78" i="1"/>
  <c r="BN78" i="1"/>
  <c r="CM78" i="1"/>
  <c r="CE81" i="1"/>
  <c r="Q82" i="1"/>
  <c r="V84" i="1"/>
  <c r="CM84" i="1"/>
  <c r="BD86" i="1"/>
  <c r="CE86" i="1"/>
  <c r="R88" i="1"/>
  <c r="BJ88" i="1"/>
  <c r="CF88" i="1"/>
  <c r="CK88" i="1"/>
  <c r="CO88" i="1"/>
  <c r="CT88" i="1"/>
  <c r="CH89" i="1"/>
  <c r="CM92" i="1"/>
  <c r="K100" i="1"/>
  <c r="J105" i="1" s="1"/>
  <c r="J104" i="1" s="1"/>
  <c r="J103" i="1" s="1"/>
  <c r="O100" i="1"/>
  <c r="Y100" i="1"/>
  <c r="AC100" i="1"/>
  <c r="AH100" i="1"/>
  <c r="AU100" i="1"/>
  <c r="BA100" i="1"/>
  <c r="BG100" i="1"/>
  <c r="BL100" i="1"/>
  <c r="CA100" i="1"/>
  <c r="CI100" i="1"/>
  <c r="CR100" i="1"/>
  <c r="AF101" i="1"/>
  <c r="BQ101" i="1"/>
  <c r="CV101" i="1"/>
  <c r="L103" i="1"/>
  <c r="P103" i="1"/>
  <c r="U103" i="1"/>
  <c r="Z103" i="1"/>
  <c r="AD103" i="1"/>
  <c r="AI103" i="1"/>
  <c r="AM103" i="1"/>
  <c r="AQ103" i="1"/>
  <c r="AX103" i="1"/>
  <c r="BB103" i="1"/>
  <c r="BI103" i="1"/>
  <c r="BM103" i="1"/>
  <c r="BT103" i="1"/>
  <c r="H107" i="1"/>
  <c r="M107" i="1"/>
  <c r="R107" i="1"/>
  <c r="W107" i="1"/>
  <c r="AA107" i="1"/>
  <c r="AE107" i="1"/>
  <c r="AJ107" i="1"/>
  <c r="AN107" i="1"/>
  <c r="AY107" i="1"/>
  <c r="BE107" i="1"/>
  <c r="BJ107" i="1"/>
  <c r="BO107" i="1"/>
  <c r="BU107" i="1"/>
  <c r="BD113" i="1"/>
  <c r="CE113" i="1"/>
  <c r="J125" i="1"/>
  <c r="AJ129" i="1"/>
  <c r="AF136" i="1"/>
  <c r="CU136" i="1"/>
  <c r="J137" i="1"/>
  <c r="CE137" i="1"/>
  <c r="M145" i="1"/>
  <c r="Z145" i="1"/>
  <c r="AD145" i="1"/>
  <c r="AI145" i="1"/>
  <c r="AQ145" i="1"/>
  <c r="AX145" i="1"/>
  <c r="BI145" i="1"/>
  <c r="BT145" i="1"/>
  <c r="CJ145" i="1"/>
  <c r="CN145" i="1"/>
  <c r="CS145" i="1"/>
  <c r="J146" i="1"/>
  <c r="CD147" i="1"/>
  <c r="CD148" i="1"/>
  <c r="G149" i="1"/>
  <c r="CD149" i="1"/>
  <c r="R145" i="1"/>
  <c r="W145" i="1"/>
  <c r="AE145" i="1"/>
  <c r="AJ145" i="1"/>
  <c r="AN145" i="1"/>
  <c r="AS145" i="1"/>
  <c r="AY145" i="1"/>
  <c r="BE145" i="1"/>
  <c r="BJ145" i="1"/>
  <c r="BO145" i="1"/>
  <c r="BU145" i="1"/>
  <c r="CI145" i="1"/>
  <c r="CU156" i="1"/>
  <c r="CU158" i="1"/>
  <c r="AU160" i="1"/>
  <c r="BA160" i="1"/>
  <c r="BL160" i="1"/>
  <c r="BS160" i="1"/>
  <c r="BW160" i="1"/>
  <c r="CA160" i="1"/>
  <c r="CI160" i="1"/>
  <c r="CU185" i="1"/>
  <c r="AF190" i="1"/>
  <c r="BQ192" i="1"/>
  <c r="CR223" i="1"/>
  <c r="BL225" i="1"/>
  <c r="CX225" i="1"/>
  <c r="BH230" i="1"/>
  <c r="AF230" i="1"/>
  <c r="J246" i="1"/>
  <c r="AE235" i="1"/>
  <c r="AM235" i="1"/>
  <c r="AQ235" i="1"/>
  <c r="AV235" i="1"/>
  <c r="AZ235" i="1"/>
  <c r="BG235" i="1"/>
  <c r="BL235" i="1"/>
  <c r="BS235" i="1"/>
  <c r="BW235" i="1"/>
  <c r="CA235" i="1"/>
  <c r="CJ235" i="1"/>
  <c r="CO235" i="1"/>
  <c r="CT235" i="1"/>
  <c r="CV291" i="1"/>
  <c r="Q297" i="1"/>
  <c r="BH297" i="1"/>
  <c r="CH297" i="1"/>
  <c r="CK306" i="1"/>
  <c r="AF310" i="1"/>
  <c r="BQ310" i="1"/>
  <c r="AF312" i="1"/>
  <c r="I38" i="1"/>
  <c r="I47" i="1"/>
  <c r="I52" i="1"/>
  <c r="I71" i="1"/>
  <c r="I78" i="1"/>
  <c r="I84" i="1"/>
  <c r="I139" i="1"/>
  <c r="I153" i="1"/>
  <c r="I161" i="1"/>
  <c r="H166" i="1"/>
  <c r="J168" i="1"/>
  <c r="H186" i="1"/>
  <c r="H232" i="1"/>
  <c r="AA249" i="1"/>
  <c r="U249" i="1"/>
  <c r="Q274" i="1"/>
  <c r="AB249" i="1"/>
  <c r="V275" i="1"/>
  <c r="BB121" i="1"/>
  <c r="AF165" i="1"/>
  <c r="AI166" i="1"/>
  <c r="AL249" i="1"/>
  <c r="CM169" i="1"/>
  <c r="BQ203" i="1"/>
  <c r="CN249" i="1"/>
  <c r="CE133" i="1"/>
  <c r="CD136" i="1"/>
  <c r="CM306" i="1"/>
  <c r="CH306" i="1"/>
  <c r="R235" i="1"/>
  <c r="I235" i="1"/>
  <c r="BL296" i="1"/>
  <c r="AK235" i="1"/>
  <c r="U170" i="1"/>
  <c r="AJ170" i="1"/>
  <c r="AF171" i="1"/>
  <c r="V171" i="1"/>
  <c r="G172" i="1"/>
  <c r="CM129" i="1"/>
  <c r="CD132" i="1"/>
  <c r="G132" i="1"/>
  <c r="O124" i="1"/>
  <c r="AU11" i="1"/>
  <c r="AX11" i="1"/>
  <c r="R49" i="1"/>
  <c r="BA49" i="1"/>
  <c r="BG49" i="1"/>
  <c r="BL49" i="1"/>
  <c r="BO49" i="1"/>
  <c r="AL70" i="1"/>
  <c r="BM70" i="1"/>
  <c r="J78" i="1"/>
  <c r="G79" i="1"/>
  <c r="L82" i="1"/>
  <c r="J87" i="1" s="1"/>
  <c r="BD84" i="1"/>
  <c r="BC85" i="1"/>
  <c r="I88" i="1"/>
  <c r="L88" i="1"/>
  <c r="N88" i="1"/>
  <c r="BH181" i="1"/>
  <c r="BC182" i="1"/>
  <c r="AF64" i="1"/>
  <c r="BB63" i="1"/>
  <c r="BH63" i="1"/>
  <c r="BC64" i="1"/>
  <c r="L65" i="1"/>
  <c r="BH110" i="1"/>
  <c r="BC111" i="1"/>
  <c r="J164" i="1"/>
  <c r="O161" i="1"/>
  <c r="O249" i="1"/>
  <c r="AC207" i="1"/>
  <c r="V218" i="1"/>
  <c r="AI249" i="1"/>
  <c r="G307" i="1"/>
  <c r="AN11" i="1"/>
  <c r="AB88" i="1"/>
  <c r="AD88" i="1"/>
  <c r="AG88" i="1"/>
  <c r="AI88" i="1"/>
  <c r="AK88" i="1"/>
  <c r="AO88" i="1"/>
  <c r="AZ88" i="1"/>
  <c r="BF88" i="1"/>
  <c r="BI88" i="1"/>
  <c r="O166" i="1"/>
  <c r="AJ166" i="1"/>
  <c r="CN166" i="1"/>
  <c r="CA198" i="1"/>
  <c r="X249" i="1"/>
  <c r="BW145" i="1"/>
  <c r="K160" i="1"/>
  <c r="M160" i="1"/>
  <c r="R160" i="1"/>
  <c r="T160" i="1"/>
  <c r="AA160" i="1"/>
  <c r="AE160" i="1"/>
  <c r="AH160" i="1"/>
  <c r="AL160" i="1"/>
  <c r="AN160" i="1"/>
  <c r="L160" i="1"/>
  <c r="N160" i="1"/>
  <c r="X160" i="1"/>
  <c r="Z160" i="1"/>
  <c r="AB160" i="1"/>
  <c r="AD160" i="1"/>
  <c r="AG160" i="1"/>
  <c r="AM160" i="1"/>
  <c r="N170" i="1"/>
  <c r="R170" i="1"/>
  <c r="W170" i="1"/>
  <c r="Y170" i="1"/>
  <c r="AA170" i="1"/>
  <c r="AC170" i="1"/>
  <c r="AM170" i="1"/>
  <c r="AO170" i="1"/>
  <c r="AQ170" i="1"/>
  <c r="AT170" i="1"/>
  <c r="AV170" i="1"/>
  <c r="AX170" i="1"/>
  <c r="BB170" i="1"/>
  <c r="BI170" i="1"/>
  <c r="BK170" i="1"/>
  <c r="BM170" i="1"/>
  <c r="G252" i="1"/>
  <c r="CD252" i="1"/>
  <c r="CD254" i="1"/>
  <c r="CD258" i="1"/>
  <c r="CD260" i="1"/>
  <c r="CD266" i="1"/>
  <c r="G270" i="1"/>
  <c r="AF232" i="1"/>
  <c r="BC121" i="1"/>
  <c r="CQ88" i="1"/>
  <c r="CS88" i="1"/>
  <c r="CW88" i="1"/>
  <c r="S249" i="1"/>
  <c r="W249" i="1"/>
  <c r="J275" i="1"/>
  <c r="P249" i="1"/>
  <c r="AG107" i="1"/>
  <c r="AI107" i="1"/>
  <c r="AK107" i="1"/>
  <c r="AM107" i="1"/>
  <c r="AO107" i="1"/>
  <c r="AQ107" i="1"/>
  <c r="AT107" i="1"/>
  <c r="AX107" i="1"/>
  <c r="AZ107" i="1"/>
  <c r="BB107" i="1"/>
  <c r="BF107" i="1"/>
  <c r="BI107" i="1"/>
  <c r="BK107" i="1"/>
  <c r="BM107" i="1"/>
  <c r="BR107" i="1"/>
  <c r="BT107" i="1"/>
  <c r="BV107" i="1"/>
  <c r="BX107" i="1"/>
  <c r="BZ107" i="1"/>
  <c r="CB107" i="1"/>
  <c r="CF107" i="1"/>
  <c r="CL107" i="1"/>
  <c r="CO107" i="1"/>
  <c r="CR107" i="1"/>
  <c r="CT107" i="1"/>
  <c r="BR170" i="1"/>
  <c r="BT170" i="1"/>
  <c r="CN170" i="1"/>
  <c r="L170" i="1"/>
  <c r="M170" i="1"/>
  <c r="O170" i="1"/>
  <c r="S170" i="1"/>
  <c r="X170" i="1"/>
  <c r="Z170" i="1"/>
  <c r="AB170" i="1"/>
  <c r="AD170" i="1"/>
  <c r="AG170" i="1"/>
  <c r="AI170" i="1"/>
  <c r="BO170" i="1"/>
  <c r="BU170" i="1"/>
  <c r="BW170" i="1"/>
  <c r="BY170" i="1"/>
  <c r="CA170" i="1"/>
  <c r="CI170" i="1"/>
  <c r="N183" i="1"/>
  <c r="P183" i="1"/>
  <c r="S183" i="1"/>
  <c r="U183" i="1"/>
  <c r="Z183" i="1"/>
  <c r="AB183" i="1"/>
  <c r="AD183" i="1"/>
  <c r="AI183" i="1"/>
  <c r="AK183" i="1"/>
  <c r="AQ183" i="1"/>
  <c r="AT183" i="1"/>
  <c r="AX183" i="1"/>
  <c r="BB183" i="1"/>
  <c r="BF183" i="1"/>
  <c r="BK183" i="1"/>
  <c r="BM183" i="1"/>
  <c r="BR183" i="1"/>
  <c r="BT183" i="1"/>
  <c r="BV183" i="1"/>
  <c r="M183" i="1"/>
  <c r="O183" i="1"/>
  <c r="R183" i="1"/>
  <c r="T183" i="1"/>
  <c r="W183" i="1"/>
  <c r="AE183" i="1"/>
  <c r="AH183" i="1"/>
  <c r="AJ183" i="1"/>
  <c r="AL183" i="1"/>
  <c r="AP183" i="1"/>
  <c r="AS183" i="1"/>
  <c r="AU183" i="1"/>
  <c r="AY183" i="1"/>
  <c r="BA183" i="1"/>
  <c r="BE183" i="1"/>
  <c r="BJ183" i="1"/>
  <c r="BL183" i="1"/>
  <c r="BO183" i="1"/>
  <c r="BU183" i="1"/>
  <c r="BW183" i="1"/>
  <c r="BY183" i="1"/>
  <c r="CI183" i="1"/>
  <c r="CK183" i="1"/>
  <c r="BC221" i="1"/>
  <c r="CD221" i="1"/>
  <c r="CD224" i="1"/>
  <c r="CM249" i="1"/>
  <c r="CC87" i="1"/>
  <c r="CD232" i="1"/>
  <c r="BC230" i="1"/>
  <c r="BC125" i="1"/>
  <c r="CC105" i="1"/>
  <c r="CU59" i="1"/>
  <c r="CV58" i="1"/>
  <c r="AG65" i="1"/>
  <c r="AK65" i="1"/>
  <c r="AO65" i="1"/>
  <c r="AQ65" i="1"/>
  <c r="BF65" i="1"/>
  <c r="BI65" i="1"/>
  <c r="BK65" i="1"/>
  <c r="BM65" i="1"/>
  <c r="CU72" i="1"/>
  <c r="CV71" i="1"/>
  <c r="O11" i="1"/>
  <c r="CN65" i="1"/>
  <c r="CU81" i="1"/>
  <c r="CV80" i="1"/>
  <c r="G17" i="1"/>
  <c r="BN18" i="1"/>
  <c r="CM18" i="1"/>
  <c r="G21" i="1"/>
  <c r="CD21" i="1"/>
  <c r="BC30" i="1"/>
  <c r="BN38" i="1"/>
  <c r="CE38" i="1"/>
  <c r="CD48" i="1"/>
  <c r="CL49" i="1"/>
  <c r="X60" i="1"/>
  <c r="Z60" i="1"/>
  <c r="AB60" i="1"/>
  <c r="AD60" i="1"/>
  <c r="BG60" i="1"/>
  <c r="BL60" i="1"/>
  <c r="BO60" i="1"/>
  <c r="BS60" i="1"/>
  <c r="K60" i="1"/>
  <c r="M60" i="1"/>
  <c r="O60" i="1"/>
  <c r="T60" i="1"/>
  <c r="W60" i="1"/>
  <c r="Y60" i="1"/>
  <c r="AA60" i="1"/>
  <c r="BF60" i="1"/>
  <c r="BI60" i="1"/>
  <c r="BK60" i="1"/>
  <c r="BR60" i="1"/>
  <c r="BT60" i="1"/>
  <c r="BV60" i="1"/>
  <c r="BX60" i="1"/>
  <c r="BZ60" i="1"/>
  <c r="CB60" i="1"/>
  <c r="CG60" i="1"/>
  <c r="CJ60" i="1"/>
  <c r="CL60" i="1"/>
  <c r="CQ60" i="1"/>
  <c r="CS60" i="1"/>
  <c r="K70" i="1"/>
  <c r="CD72" i="1"/>
  <c r="CJ70" i="1"/>
  <c r="CL70" i="1"/>
  <c r="CN70" i="1"/>
  <c r="CQ70" i="1"/>
  <c r="BX183" i="1"/>
  <c r="BC138" i="1"/>
  <c r="BY124" i="1"/>
  <c r="CA124" i="1"/>
  <c r="CF124" i="1"/>
  <c r="CK124" i="1"/>
  <c r="CO124" i="1"/>
  <c r="CR124" i="1"/>
  <c r="CT124" i="1"/>
  <c r="CX124" i="1"/>
  <c r="BC144" i="1"/>
  <c r="BC147" i="1"/>
  <c r="BC149" i="1"/>
  <c r="CR170" i="1"/>
  <c r="CT170" i="1"/>
  <c r="CX170" i="1"/>
  <c r="CG183" i="1"/>
  <c r="CJ183" i="1"/>
  <c r="CN183" i="1"/>
  <c r="CS183" i="1"/>
  <c r="CF183" i="1"/>
  <c r="CD263" i="1"/>
  <c r="O296" i="1"/>
  <c r="L112" i="1"/>
  <c r="N112" i="1"/>
  <c r="S112" i="1"/>
  <c r="Z112" i="1"/>
  <c r="AK112" i="1"/>
  <c r="AT112" i="1"/>
  <c r="AZ112" i="1"/>
  <c r="BK112" i="1"/>
  <c r="S88" i="1"/>
  <c r="X88" i="1"/>
  <c r="AQ88" i="1"/>
  <c r="AT88" i="1"/>
  <c r="AX88" i="1"/>
  <c r="BK88" i="1"/>
  <c r="BC94" i="1"/>
  <c r="BN92" i="1"/>
  <c r="BC99" i="1"/>
  <c r="G127" i="1"/>
  <c r="AF141" i="1"/>
  <c r="AJ249" i="1"/>
  <c r="I296" i="1"/>
  <c r="L296" i="1"/>
  <c r="N296" i="1"/>
  <c r="P296" i="1"/>
  <c r="S296" i="1"/>
  <c r="U296" i="1"/>
  <c r="X296" i="1"/>
  <c r="AB296" i="1"/>
  <c r="AD296" i="1"/>
  <c r="AK296" i="1"/>
  <c r="AM296" i="1"/>
  <c r="AQ296" i="1"/>
  <c r="AT296" i="1"/>
  <c r="AV296" i="1"/>
  <c r="BF296" i="1"/>
  <c r="BU296" i="1"/>
  <c r="BY296" i="1"/>
  <c r="CQ296" i="1"/>
  <c r="K296" i="1"/>
  <c r="J301" i="1" s="1"/>
  <c r="J297" i="1" s="1"/>
  <c r="AH296" i="1"/>
  <c r="AS296" i="1"/>
  <c r="BA296" i="1"/>
  <c r="CO296" i="1"/>
  <c r="CW296" i="1"/>
  <c r="AC296" i="1"/>
  <c r="BJ296" i="1"/>
  <c r="CF296" i="1"/>
  <c r="BD118" i="1"/>
  <c r="G217" i="1"/>
  <c r="J306" i="1"/>
  <c r="G261" i="1"/>
  <c r="BH14" i="1"/>
  <c r="Q18" i="1"/>
  <c r="G210" i="1"/>
  <c r="G211" i="1"/>
  <c r="G213" i="1"/>
  <c r="G214" i="1"/>
  <c r="G215" i="1"/>
  <c r="G216" i="1"/>
  <c r="G253" i="1"/>
  <c r="G256" i="1"/>
  <c r="G258" i="1"/>
  <c r="G262" i="1"/>
  <c r="G268" i="1"/>
  <c r="BC22" i="1"/>
  <c r="CD24" i="1"/>
  <c r="G26" i="1"/>
  <c r="CD26" i="1"/>
  <c r="CD27" i="1"/>
  <c r="CV56" i="1"/>
  <c r="G77" i="1"/>
  <c r="J89" i="1"/>
  <c r="V89" i="1"/>
  <c r="BC90" i="1"/>
  <c r="CE89" i="1"/>
  <c r="BH89" i="1"/>
  <c r="BQ89" i="1"/>
  <c r="G94" i="1"/>
  <c r="G95" i="1"/>
  <c r="BC95" i="1"/>
  <c r="CD95" i="1"/>
  <c r="G96" i="1"/>
  <c r="CD96" i="1"/>
  <c r="G97" i="1"/>
  <c r="G98" i="1"/>
  <c r="BC98" i="1"/>
  <c r="G99" i="1"/>
  <c r="CD99" i="1"/>
  <c r="BC184" i="1"/>
  <c r="G250" i="1"/>
  <c r="G254" i="1"/>
  <c r="AI296" i="1"/>
  <c r="CN296" i="1"/>
  <c r="BC300" i="1"/>
  <c r="BC311" i="1"/>
  <c r="G315" i="1"/>
  <c r="CD307" i="1"/>
  <c r="CJ296" i="1"/>
  <c r="CG296" i="1"/>
  <c r="CE306" i="1"/>
  <c r="CE223" i="1"/>
  <c r="CV223" i="1"/>
  <c r="CE220" i="1"/>
  <c r="AZ296" i="1"/>
  <c r="BB296" i="1"/>
  <c r="BI296" i="1"/>
  <c r="BO296" i="1"/>
  <c r="BW296" i="1"/>
  <c r="CA296" i="1"/>
  <c r="H296" i="1"/>
  <c r="M296" i="1"/>
  <c r="AJ296" i="1"/>
  <c r="AL296" i="1"/>
  <c r="AP296" i="1"/>
  <c r="AU296" i="1"/>
  <c r="CX296" i="1"/>
  <c r="CR296" i="1"/>
  <c r="BK296" i="1"/>
  <c r="W296" i="1"/>
  <c r="AA296" i="1"/>
  <c r="AE296" i="1"/>
  <c r="BE296" i="1"/>
  <c r="I112" i="1"/>
  <c r="P112" i="1"/>
  <c r="U112" i="1"/>
  <c r="AB112" i="1"/>
  <c r="AI112" i="1"/>
  <c r="AM112" i="1"/>
  <c r="AQ112" i="1"/>
  <c r="AX112" i="1"/>
  <c r="BI112" i="1"/>
  <c r="BM112" i="1"/>
  <c r="AA11" i="1"/>
  <c r="L49" i="1"/>
  <c r="M70" i="1"/>
  <c r="O70" i="1"/>
  <c r="S70" i="1"/>
  <c r="W70" i="1"/>
  <c r="Y70" i="1"/>
  <c r="AA70" i="1"/>
  <c r="AE70" i="1"/>
  <c r="AH70" i="1"/>
  <c r="AJ70" i="1"/>
  <c r="AN70" i="1"/>
  <c r="AP70" i="1"/>
  <c r="AS70" i="1"/>
  <c r="AU70" i="1"/>
  <c r="BA70" i="1"/>
  <c r="BE70" i="1"/>
  <c r="BG70" i="1"/>
  <c r="BI70" i="1"/>
  <c r="BK70" i="1"/>
  <c r="BX70" i="1"/>
  <c r="BZ70" i="1"/>
  <c r="CB70" i="1"/>
  <c r="CW70" i="1"/>
  <c r="R70" i="1"/>
  <c r="BJ70" i="1"/>
  <c r="BL70" i="1"/>
  <c r="BO70" i="1"/>
  <c r="BS70" i="1"/>
  <c r="BU70" i="1"/>
  <c r="BY70" i="1"/>
  <c r="CA70" i="1"/>
  <c r="CO70" i="1"/>
  <c r="CR70" i="1"/>
  <c r="CT70" i="1"/>
  <c r="CX70" i="1"/>
  <c r="AC60" i="1"/>
  <c r="P65" i="1"/>
  <c r="CL65" i="1"/>
  <c r="AI70" i="1"/>
  <c r="N70" i="1"/>
  <c r="Z88" i="1"/>
  <c r="CX107" i="1"/>
  <c r="K124" i="1"/>
  <c r="M124" i="1"/>
  <c r="BB145" i="1"/>
  <c r="K170" i="1"/>
  <c r="J175" i="1" s="1"/>
  <c r="G175" i="1" s="1"/>
  <c r="CU64" i="1"/>
  <c r="CV63" i="1"/>
  <c r="BQ68" i="1"/>
  <c r="BC69" i="1"/>
  <c r="BH80" i="1"/>
  <c r="BC81" i="1"/>
  <c r="BH86" i="1"/>
  <c r="BC87" i="1"/>
  <c r="CU90" i="1"/>
  <c r="CV89" i="1"/>
  <c r="G91" i="1"/>
  <c r="Q89" i="1"/>
  <c r="V92" i="1"/>
  <c r="BH139" i="1"/>
  <c r="BC140" i="1"/>
  <c r="J141" i="1"/>
  <c r="G142" i="1"/>
  <c r="BN141" i="1"/>
  <c r="BC142" i="1"/>
  <c r="BC12" i="1"/>
  <c r="CU87" i="1"/>
  <c r="BC83" i="1"/>
  <c r="CV139" i="1"/>
  <c r="CD138" i="1"/>
  <c r="BC93" i="1"/>
  <c r="BN89" i="1"/>
  <c r="BN146" i="1"/>
  <c r="CD93" i="1"/>
  <c r="G140" i="1"/>
  <c r="CU16" i="1"/>
  <c r="CV14" i="1"/>
  <c r="CU28" i="1"/>
  <c r="CV18" i="1"/>
  <c r="CD29" i="1"/>
  <c r="CH18" i="1"/>
  <c r="BC43" i="1"/>
  <c r="BH38" i="1"/>
  <c r="G46" i="1"/>
  <c r="BN47" i="1"/>
  <c r="BC48" i="1"/>
  <c r="Q50" i="1"/>
  <c r="G51" i="1"/>
  <c r="CE63" i="1"/>
  <c r="CD64" i="1"/>
  <c r="U70" i="1"/>
  <c r="CG70" i="1"/>
  <c r="J129" i="1"/>
  <c r="BQ129" i="1"/>
  <c r="J133" i="1"/>
  <c r="G148" i="1"/>
  <c r="G156" i="1"/>
  <c r="BC206" i="1"/>
  <c r="G147" i="1"/>
  <c r="P124" i="1"/>
  <c r="BC131" i="1"/>
  <c r="G130" i="1"/>
  <c r="G126" i="1"/>
  <c r="AF73" i="1"/>
  <c r="U65" i="1"/>
  <c r="G67" i="1"/>
  <c r="J66" i="1"/>
  <c r="AF18" i="1"/>
  <c r="G22" i="1"/>
  <c r="G40" i="1"/>
  <c r="CV66" i="1"/>
  <c r="J113" i="1" l="1"/>
  <c r="F13" i="1"/>
  <c r="F12" i="1" s="1"/>
  <c r="G87" i="1"/>
  <c r="F87" i="1" s="1"/>
  <c r="J86" i="1"/>
  <c r="J165" i="1"/>
  <c r="G165" i="1" s="1"/>
  <c r="G301" i="1"/>
  <c r="G297" i="1" s="1"/>
  <c r="J173" i="1"/>
  <c r="J170" i="1" s="1"/>
  <c r="G227" i="1"/>
  <c r="F227" i="1" s="1"/>
  <c r="J93" i="1"/>
  <c r="G188" i="1"/>
  <c r="F188" i="1" s="1"/>
  <c r="J224" i="1"/>
  <c r="J117" i="1"/>
  <c r="G105" i="1"/>
  <c r="CD176" i="1"/>
  <c r="BC304" i="1"/>
  <c r="CC286" i="1"/>
  <c r="CC303" i="1"/>
  <c r="F263" i="1"/>
  <c r="BD293" i="1"/>
  <c r="CU294" i="1"/>
  <c r="CU291" i="1"/>
  <c r="CC285" i="1"/>
  <c r="BC289" i="1"/>
  <c r="AF293" i="1"/>
  <c r="F260" i="1"/>
  <c r="F257" i="1"/>
  <c r="BF229" i="1"/>
  <c r="CC267" i="1"/>
  <c r="F287" i="1"/>
  <c r="F295" i="1"/>
  <c r="CC257" i="1"/>
  <c r="BD225" i="1"/>
  <c r="G176" i="1"/>
  <c r="BN170" i="1"/>
  <c r="J153" i="1"/>
  <c r="J145" i="1" s="1"/>
  <c r="F178" i="1"/>
  <c r="P170" i="1"/>
  <c r="CC157" i="1"/>
  <c r="CC152" i="1"/>
  <c r="CC188" i="1"/>
  <c r="CC165" i="1"/>
  <c r="BC291" i="1"/>
  <c r="BC294" i="1"/>
  <c r="CD308" i="1"/>
  <c r="CC309" i="1"/>
  <c r="CD276" i="1"/>
  <c r="CH235" i="1"/>
  <c r="CC200" i="1"/>
  <c r="CV235" i="1"/>
  <c r="G291" i="1"/>
  <c r="F292" i="1"/>
  <c r="BQ235" i="1"/>
  <c r="CC273" i="1"/>
  <c r="F122" i="1"/>
  <c r="G312" i="1"/>
  <c r="CU297" i="1"/>
  <c r="CC299" i="1"/>
  <c r="BQ293" i="1"/>
  <c r="BH293" i="1"/>
  <c r="Q293" i="1"/>
  <c r="CD289" i="1"/>
  <c r="G289" i="1"/>
  <c r="CC288" i="1"/>
  <c r="F286" i="1"/>
  <c r="F282" i="1"/>
  <c r="CC281" i="1"/>
  <c r="F281" i="1"/>
  <c r="F280" i="1"/>
  <c r="F278" i="1"/>
  <c r="CU276" i="1"/>
  <c r="CC272" i="1"/>
  <c r="CC269" i="1"/>
  <c r="CC268" i="1"/>
  <c r="F266" i="1"/>
  <c r="CC264" i="1"/>
  <c r="F264" i="1"/>
  <c r="CC262" i="1"/>
  <c r="CC261" i="1"/>
  <c r="CC259" i="1"/>
  <c r="CC256" i="1"/>
  <c r="CC251" i="1"/>
  <c r="F251" i="1"/>
  <c r="CC250" i="1"/>
  <c r="BN235" i="1"/>
  <c r="CC248" i="1"/>
  <c r="F243" i="1"/>
  <c r="CC244" i="1"/>
  <c r="F244" i="1"/>
  <c r="F241" i="1"/>
  <c r="CC240" i="1"/>
  <c r="CC238" i="1"/>
  <c r="CC234" i="1"/>
  <c r="CC233" i="1"/>
  <c r="BC232" i="1"/>
  <c r="CC228" i="1"/>
  <c r="CE225" i="1"/>
  <c r="BN225" i="1"/>
  <c r="J225" i="1"/>
  <c r="CC218" i="1"/>
  <c r="CC215" i="1"/>
  <c r="CC201" i="1"/>
  <c r="CU190" i="1"/>
  <c r="CC185" i="1"/>
  <c r="CU181" i="1"/>
  <c r="F180" i="1"/>
  <c r="G179" i="1"/>
  <c r="BQ160" i="1"/>
  <c r="CU110" i="1"/>
  <c r="CU107" i="1" s="1"/>
  <c r="CH107" i="1"/>
  <c r="CU116" i="1"/>
  <c r="CM107" i="1"/>
  <c r="CU230" i="1"/>
  <c r="V145" i="1"/>
  <c r="F267" i="1"/>
  <c r="CV145" i="1"/>
  <c r="F279" i="1"/>
  <c r="F157" i="1"/>
  <c r="F284" i="1"/>
  <c r="CC255" i="1"/>
  <c r="CC241" i="1"/>
  <c r="CU78" i="1"/>
  <c r="BD235" i="1"/>
  <c r="BD229" i="1" s="1"/>
  <c r="CC214" i="1"/>
  <c r="F259" i="1"/>
  <c r="CC279" i="1"/>
  <c r="CU194" i="1"/>
  <c r="CC245" i="1"/>
  <c r="CC270" i="1"/>
  <c r="CR229" i="1"/>
  <c r="CC287" i="1"/>
  <c r="BC223" i="1"/>
  <c r="F265" i="1"/>
  <c r="E265" i="1" s="1"/>
  <c r="CC300" i="1"/>
  <c r="CC277" i="1"/>
  <c r="CC283" i="1"/>
  <c r="CC278" i="1"/>
  <c r="CU312" i="1"/>
  <c r="CH160" i="1"/>
  <c r="CC246" i="1"/>
  <c r="CC271" i="1"/>
  <c r="CM225" i="1"/>
  <c r="CC213" i="1"/>
  <c r="CC247" i="1"/>
  <c r="CC151" i="1"/>
  <c r="CD226" i="1"/>
  <c r="CG124" i="1"/>
  <c r="CV107" i="1"/>
  <c r="CC205" i="1"/>
  <c r="F205" i="1"/>
  <c r="AF103" i="1"/>
  <c r="BE229" i="1"/>
  <c r="F309" i="1"/>
  <c r="F308" i="1" s="1"/>
  <c r="F200" i="1"/>
  <c r="F128" i="1"/>
  <c r="BQ170" i="1"/>
  <c r="J183" i="1"/>
  <c r="CM183" i="1"/>
  <c r="CD73" i="1"/>
  <c r="F272" i="1"/>
  <c r="K145" i="1"/>
  <c r="G150" i="1"/>
  <c r="BC276" i="1"/>
  <c r="G192" i="1"/>
  <c r="CD86" i="1"/>
  <c r="CL229" i="1"/>
  <c r="CL316" i="1" s="1"/>
  <c r="F152" i="1"/>
  <c r="K235" i="1"/>
  <c r="J240" i="1" s="1"/>
  <c r="G240" i="1" s="1"/>
  <c r="F240" i="1" s="1"/>
  <c r="BD100" i="1"/>
  <c r="CU220" i="1"/>
  <c r="CU219" i="1" s="1"/>
  <c r="CC206" i="1"/>
  <c r="BD103" i="1"/>
  <c r="CC97" i="1"/>
  <c r="F105" i="1"/>
  <c r="E105" i="1" s="1"/>
  <c r="BC173" i="1"/>
  <c r="BH235" i="1"/>
  <c r="CU176" i="1"/>
  <c r="AF222" i="1"/>
  <c r="G119" i="1"/>
  <c r="F187" i="1"/>
  <c r="CC315" i="1"/>
  <c r="CU171" i="1"/>
  <c r="F248" i="1"/>
  <c r="F169" i="1"/>
  <c r="F305" i="1"/>
  <c r="E305" i="1" s="1"/>
  <c r="CC163" i="1"/>
  <c r="CC212" i="1"/>
  <c r="CC162" i="1"/>
  <c r="CU100" i="1"/>
  <c r="CD116" i="1"/>
  <c r="G110" i="1"/>
  <c r="CC178" i="1"/>
  <c r="BH222" i="1"/>
  <c r="CE100" i="1"/>
  <c r="F231" i="1"/>
  <c r="E231" i="1" s="1"/>
  <c r="G174" i="1"/>
  <c r="F174" i="1" s="1"/>
  <c r="BB160" i="1"/>
  <c r="CC74" i="1"/>
  <c r="CC73" i="1" s="1"/>
  <c r="I183" i="1"/>
  <c r="BD160" i="1"/>
  <c r="CD104" i="1"/>
  <c r="CD103" i="1" s="1"/>
  <c r="CC53" i="1"/>
  <c r="CC52" i="1" s="1"/>
  <c r="F255" i="1"/>
  <c r="F155" i="1"/>
  <c r="BC176" i="1"/>
  <c r="H145" i="1"/>
  <c r="BQ145" i="1"/>
  <c r="CC204" i="1"/>
  <c r="CC197" i="1"/>
  <c r="CC156" i="1"/>
  <c r="CD196" i="1"/>
  <c r="G104" i="1"/>
  <c r="G103" i="1" s="1"/>
  <c r="F313" i="1"/>
  <c r="CD173" i="1"/>
  <c r="CD198" i="1"/>
  <c r="CE49" i="1"/>
  <c r="CD125" i="1"/>
  <c r="BC191" i="1"/>
  <c r="F191" i="1" s="1"/>
  <c r="F190" i="1" s="1"/>
  <c r="BN160" i="1"/>
  <c r="F159" i="1"/>
  <c r="AU229" i="1"/>
  <c r="CD312" i="1"/>
  <c r="F283" i="1"/>
  <c r="P160" i="1"/>
  <c r="W160" i="1"/>
  <c r="CC126" i="1"/>
  <c r="BC108" i="1"/>
  <c r="CU52" i="1"/>
  <c r="CV225" i="1"/>
  <c r="CC181" i="1"/>
  <c r="H124" i="1"/>
  <c r="CC313" i="1"/>
  <c r="CE65" i="1"/>
  <c r="G181" i="1"/>
  <c r="G35" i="1"/>
  <c r="F35" i="1" s="1"/>
  <c r="CU47" i="1"/>
  <c r="F208" i="1"/>
  <c r="CC144" i="1"/>
  <c r="BC113" i="1"/>
  <c r="CU196" i="1"/>
  <c r="CV293" i="1"/>
  <c r="G310" i="1"/>
  <c r="F273" i="1"/>
  <c r="CU249" i="1"/>
  <c r="CV183" i="1"/>
  <c r="F163" i="1"/>
  <c r="CC135" i="1"/>
  <c r="CC217" i="1"/>
  <c r="BD170" i="1"/>
  <c r="CC159" i="1"/>
  <c r="BC306" i="1"/>
  <c r="F233" i="1"/>
  <c r="CD314" i="1"/>
  <c r="CC314" i="1" s="1"/>
  <c r="G121" i="1"/>
  <c r="AF14" i="1"/>
  <c r="AF11" i="1" s="1"/>
  <c r="G15" i="1"/>
  <c r="V14" i="1"/>
  <c r="CD306" i="1"/>
  <c r="F221" i="1"/>
  <c r="CD133" i="1"/>
  <c r="U235" i="1"/>
  <c r="N229" i="1"/>
  <c r="P145" i="1"/>
  <c r="CV112" i="1"/>
  <c r="G83" i="1"/>
  <c r="M229" i="1"/>
  <c r="AF153" i="1"/>
  <c r="CC33" i="1"/>
  <c r="CC106" i="1"/>
  <c r="BC302" i="1"/>
  <c r="CC184" i="1"/>
  <c r="CC189" i="1"/>
  <c r="CH225" i="1"/>
  <c r="F199" i="1"/>
  <c r="BC186" i="1"/>
  <c r="CC143" i="1"/>
  <c r="CU161" i="1"/>
  <c r="F195" i="1"/>
  <c r="CH183" i="1"/>
  <c r="F33" i="1"/>
  <c r="CU192" i="1"/>
  <c r="F238" i="1"/>
  <c r="F237" i="1"/>
  <c r="CC108" i="1"/>
  <c r="CD12" i="1"/>
  <c r="CC180" i="1"/>
  <c r="CD76" i="1"/>
  <c r="BC133" i="1"/>
  <c r="CD179" i="1"/>
  <c r="CC77" i="1"/>
  <c r="G190" i="1"/>
  <c r="BC196" i="1"/>
  <c r="F202" i="1"/>
  <c r="BC194" i="1"/>
  <c r="CU61" i="1"/>
  <c r="CC35" i="1"/>
  <c r="F62" i="1"/>
  <c r="F61" i="1" s="1"/>
  <c r="G68" i="1"/>
  <c r="CD36" i="1"/>
  <c r="F290" i="1"/>
  <c r="E290" i="1" s="1"/>
  <c r="BC71" i="1"/>
  <c r="G58" i="1"/>
  <c r="G56" i="1"/>
  <c r="BC52" i="1"/>
  <c r="G36" i="1"/>
  <c r="G294" i="1"/>
  <c r="CC131" i="1"/>
  <c r="CA11" i="1"/>
  <c r="CC40" i="1"/>
  <c r="F285" i="1"/>
  <c r="J38" i="1"/>
  <c r="CC90" i="1"/>
  <c r="G84" i="1"/>
  <c r="BC58" i="1"/>
  <c r="CD44" i="1"/>
  <c r="BQ222" i="1"/>
  <c r="CC210" i="1"/>
  <c r="F134" i="1"/>
  <c r="F143" i="1"/>
  <c r="J107" i="1"/>
  <c r="CD101" i="1"/>
  <c r="CD100" i="1" s="1"/>
  <c r="CC123" i="1"/>
  <c r="BC226" i="1"/>
  <c r="CC167" i="1"/>
  <c r="CC177" i="1"/>
  <c r="CD192" i="1"/>
  <c r="CD78" i="1"/>
  <c r="CM145" i="1"/>
  <c r="CC174" i="1"/>
  <c r="CC173" i="1" s="1"/>
  <c r="CD181" i="1"/>
  <c r="CC211" i="1"/>
  <c r="CV219" i="1"/>
  <c r="BH225" i="1"/>
  <c r="L11" i="1"/>
  <c r="J16" i="1" s="1"/>
  <c r="CU137" i="1"/>
  <c r="F102" i="1"/>
  <c r="F101" i="1" s="1"/>
  <c r="CV170" i="1"/>
  <c r="BD145" i="1"/>
  <c r="G230" i="1"/>
  <c r="CH222" i="1"/>
  <c r="BH219" i="1"/>
  <c r="CC216" i="1"/>
  <c r="CC202" i="1"/>
  <c r="F185" i="1"/>
  <c r="CP316" i="1"/>
  <c r="CH145" i="1"/>
  <c r="CE129" i="1"/>
  <c r="CC128" i="1"/>
  <c r="CC120" i="1"/>
  <c r="CC117" i="1"/>
  <c r="BN100" i="1"/>
  <c r="F277" i="1"/>
  <c r="AF129" i="1"/>
  <c r="G113" i="1"/>
  <c r="CC62" i="1"/>
  <c r="E62" i="1" s="1"/>
  <c r="E61" i="1" s="1"/>
  <c r="CU119" i="1"/>
  <c r="F299" i="1"/>
  <c r="CD66" i="1"/>
  <c r="CC140" i="1"/>
  <c r="CD113" i="1"/>
  <c r="CC94" i="1"/>
  <c r="BC78" i="1"/>
  <c r="BH145" i="1"/>
  <c r="F271" i="1"/>
  <c r="CC91" i="1"/>
  <c r="BC150" i="1"/>
  <c r="CU179" i="1"/>
  <c r="S160" i="1"/>
  <c r="CD108" i="1"/>
  <c r="CD194" i="1"/>
  <c r="CC187" i="1"/>
  <c r="CD171" i="1"/>
  <c r="CC292" i="1"/>
  <c r="G308" i="1"/>
  <c r="G44" i="1"/>
  <c r="G76" i="1"/>
  <c r="V207" i="1"/>
  <c r="G171" i="1"/>
  <c r="AA235" i="1"/>
  <c r="CI229" i="1"/>
  <c r="BV229" i="1"/>
  <c r="AN124" i="1"/>
  <c r="CM60" i="1"/>
  <c r="V60" i="1"/>
  <c r="J49" i="1"/>
  <c r="BB235" i="1"/>
  <c r="Z235" i="1"/>
  <c r="BJ229" i="1"/>
  <c r="BD88" i="1"/>
  <c r="BI229" i="1"/>
  <c r="AW229" i="1"/>
  <c r="AN229" i="1"/>
  <c r="T229" i="1"/>
  <c r="CC142" i="1"/>
  <c r="AJ11" i="1"/>
  <c r="G12" i="1"/>
  <c r="CC237" i="1"/>
  <c r="F179" i="1"/>
  <c r="BC73" i="1"/>
  <c r="CC69" i="1"/>
  <c r="CG11" i="1"/>
  <c r="BC66" i="1"/>
  <c r="CD58" i="1"/>
  <c r="CC57" i="1"/>
  <c r="CC55" i="1"/>
  <c r="G54" i="1"/>
  <c r="BC44" i="1"/>
  <c r="CC23" i="1"/>
  <c r="I170" i="1"/>
  <c r="Z11" i="1"/>
  <c r="AD235" i="1"/>
  <c r="G196" i="1"/>
  <c r="CC98" i="1"/>
  <c r="CU310" i="1"/>
  <c r="BC308" i="1"/>
  <c r="F245" i="1"/>
  <c r="F236" i="1"/>
  <c r="CU226" i="1"/>
  <c r="BD107" i="1"/>
  <c r="CD110" i="1"/>
  <c r="CC42" i="1"/>
  <c r="G52" i="1"/>
  <c r="CM100" i="1"/>
  <c r="Q107" i="1"/>
  <c r="CC134" i="1"/>
  <c r="CC227" i="1"/>
  <c r="CC32" i="1"/>
  <c r="CC85" i="1"/>
  <c r="BH100" i="1"/>
  <c r="CD82" i="1"/>
  <c r="CU44" i="1"/>
  <c r="CC191" i="1"/>
  <c r="CC311" i="1"/>
  <c r="CD304" i="1"/>
  <c r="CH293" i="1"/>
  <c r="CC284" i="1"/>
  <c r="CC280" i="1"/>
  <c r="CD230" i="1"/>
  <c r="CC208" i="1"/>
  <c r="V103" i="1"/>
  <c r="CM293" i="1"/>
  <c r="AF112" i="1"/>
  <c r="CU198" i="1"/>
  <c r="CH124" i="1"/>
  <c r="CV160" i="1"/>
  <c r="F193" i="1"/>
  <c r="CM170" i="1"/>
  <c r="CD150" i="1"/>
  <c r="BC192" i="1"/>
  <c r="F57" i="1"/>
  <c r="CU166" i="1"/>
  <c r="BD124" i="1"/>
  <c r="CU92" i="1"/>
  <c r="CE170" i="1"/>
  <c r="BD65" i="1"/>
  <c r="F123" i="1"/>
  <c r="BN183" i="1"/>
  <c r="Q183" i="1"/>
  <c r="BD183" i="1"/>
  <c r="F189" i="1"/>
  <c r="F135" i="1"/>
  <c r="F228" i="1"/>
  <c r="F158" i="1"/>
  <c r="F109" i="1"/>
  <c r="CC172" i="1"/>
  <c r="CD89" i="1"/>
  <c r="CC46" i="1"/>
  <c r="G276" i="1"/>
  <c r="CD207" i="1"/>
  <c r="F182" i="1"/>
  <c r="E182" i="1" s="1"/>
  <c r="F303" i="1"/>
  <c r="CD121" i="1"/>
  <c r="Q124" i="1"/>
  <c r="CD54" i="1"/>
  <c r="G108" i="1"/>
  <c r="CC195" i="1"/>
  <c r="CC194" i="1" s="1"/>
  <c r="G42" i="1"/>
  <c r="CD186" i="1"/>
  <c r="G186" i="1"/>
  <c r="CC102" i="1"/>
  <c r="F151" i="1"/>
  <c r="CC193" i="1"/>
  <c r="BH183" i="1"/>
  <c r="F177" i="1"/>
  <c r="AF65" i="1"/>
  <c r="CD141" i="1"/>
  <c r="G61" i="1"/>
  <c r="G29" i="1"/>
  <c r="F120" i="1"/>
  <c r="F74" i="1"/>
  <c r="G28" i="1"/>
  <c r="CC37" i="1"/>
  <c r="F39" i="1"/>
  <c r="G198" i="1"/>
  <c r="BN296" i="1"/>
  <c r="F175" i="1"/>
  <c r="V124" i="1"/>
  <c r="CD84" i="1"/>
  <c r="CC13" i="1"/>
  <c r="CC59" i="1"/>
  <c r="CD68" i="1"/>
  <c r="F23" i="1"/>
  <c r="F37" i="1"/>
  <c r="BC171" i="1"/>
  <c r="CC158" i="1"/>
  <c r="CC127" i="1"/>
  <c r="V100" i="1"/>
  <c r="CC203" i="1"/>
  <c r="CE249" i="1"/>
  <c r="CC19" i="1"/>
  <c r="CD38" i="1"/>
  <c r="H70" i="1"/>
  <c r="F55" i="1"/>
  <c r="BQ198" i="1"/>
  <c r="AF166" i="1"/>
  <c r="CU186" i="1"/>
  <c r="CU173" i="1"/>
  <c r="CU207" i="1"/>
  <c r="F197" i="1"/>
  <c r="BC161" i="1"/>
  <c r="BH296" i="1"/>
  <c r="AH229" i="1"/>
  <c r="CO229" i="1"/>
  <c r="AT229" i="1"/>
  <c r="Y160" i="1"/>
  <c r="F212" i="1"/>
  <c r="CC34" i="1"/>
  <c r="V107" i="1"/>
  <c r="BO229" i="1"/>
  <c r="CU146" i="1"/>
  <c r="AL124" i="1"/>
  <c r="AY296" i="1"/>
  <c r="BG229" i="1"/>
  <c r="CA229" i="1"/>
  <c r="V112" i="1"/>
  <c r="BC207" i="1"/>
  <c r="BC166" i="1"/>
  <c r="BC76" i="1"/>
  <c r="CU141" i="1"/>
  <c r="CC41" i="1"/>
  <c r="F167" i="1"/>
  <c r="CU150" i="1"/>
  <c r="BC119" i="1"/>
  <c r="CG160" i="1"/>
  <c r="BC117" i="1"/>
  <c r="BC28" i="1"/>
  <c r="CC253" i="1"/>
  <c r="CC295" i="1"/>
  <c r="CD294" i="1"/>
  <c r="CC199" i="1"/>
  <c r="CC301" i="1"/>
  <c r="BQ18" i="1"/>
  <c r="H49" i="1"/>
  <c r="CH219" i="1"/>
  <c r="AT160" i="1"/>
  <c r="CB183" i="1"/>
  <c r="G194" i="1"/>
  <c r="H65" i="1"/>
  <c r="CE293" i="1"/>
  <c r="CC243" i="1"/>
  <c r="CD297" i="1"/>
  <c r="F209" i="1"/>
  <c r="BC249" i="1"/>
  <c r="BC61" i="1"/>
  <c r="BQ190" i="1"/>
  <c r="AF225" i="1"/>
  <c r="Q219" i="1"/>
  <c r="BC104" i="1"/>
  <c r="CC51" i="1"/>
  <c r="CD50" i="1"/>
  <c r="H11" i="1"/>
  <c r="F269" i="1"/>
  <c r="F106" i="1"/>
  <c r="V161" i="1"/>
  <c r="G162" i="1"/>
  <c r="H103" i="1"/>
  <c r="F304" i="1"/>
  <c r="G47" i="1"/>
  <c r="F27" i="1"/>
  <c r="F210" i="1"/>
  <c r="CH60" i="1"/>
  <c r="CC28" i="1"/>
  <c r="F59" i="1"/>
  <c r="F58" i="1" s="1"/>
  <c r="BC54" i="1"/>
  <c r="V49" i="1"/>
  <c r="F127" i="1"/>
  <c r="H170" i="1"/>
  <c r="CE80" i="1"/>
  <c r="F41" i="1"/>
  <c r="Q38" i="1"/>
  <c r="BQ14" i="1"/>
  <c r="AJ124" i="1"/>
  <c r="Q145" i="1"/>
  <c r="F34" i="1"/>
  <c r="BQ107" i="1"/>
  <c r="AY229" i="1"/>
  <c r="BK229" i="1"/>
  <c r="F270" i="1"/>
  <c r="CC43" i="1"/>
  <c r="BW229" i="1"/>
  <c r="R229" i="1"/>
  <c r="G72" i="1"/>
  <c r="AE229" i="1"/>
  <c r="G25" i="1"/>
  <c r="BC36" i="1"/>
  <c r="AF49" i="1"/>
  <c r="E236" i="1"/>
  <c r="CD31" i="1"/>
  <c r="G20" i="1"/>
  <c r="CM49" i="1"/>
  <c r="V38" i="1"/>
  <c r="BH49" i="1"/>
  <c r="G78" i="1"/>
  <c r="BN70" i="1"/>
  <c r="F90" i="1"/>
  <c r="Q70" i="1"/>
  <c r="BS229" i="1"/>
  <c r="G43" i="1"/>
  <c r="CC302" i="1"/>
  <c r="CV296" i="1"/>
  <c r="BC15" i="1"/>
  <c r="BB11" i="1"/>
  <c r="BD11" i="1"/>
  <c r="BQ60" i="1"/>
  <c r="CH49" i="1"/>
  <c r="CC224" i="1"/>
  <c r="F32" i="1"/>
  <c r="AS229" i="1"/>
  <c r="BA229" i="1"/>
  <c r="CM88" i="1"/>
  <c r="CM296" i="1"/>
  <c r="CW229" i="1"/>
  <c r="AI11" i="1"/>
  <c r="I229" i="1"/>
  <c r="AQ11" i="1"/>
  <c r="CC20" i="1"/>
  <c r="CC30" i="1"/>
  <c r="CC221" i="1"/>
  <c r="V170" i="1"/>
  <c r="F307" i="1"/>
  <c r="BR229" i="1"/>
  <c r="AZ229" i="1"/>
  <c r="CH70" i="1"/>
  <c r="CD274" i="1"/>
  <c r="AU145" i="1"/>
  <c r="F79" i="1"/>
  <c r="BH60" i="1"/>
  <c r="BL229" i="1"/>
  <c r="CT229" i="1"/>
  <c r="AQ229" i="1"/>
  <c r="CE107" i="1"/>
  <c r="BC50" i="1"/>
  <c r="CN235" i="1"/>
  <c r="J249" i="1"/>
  <c r="CC39" i="1"/>
  <c r="Q65" i="1"/>
  <c r="CU38" i="1"/>
  <c r="BD49" i="1"/>
  <c r="CS316" i="1"/>
  <c r="BQ296" i="1"/>
  <c r="BB112" i="1"/>
  <c r="H183" i="1"/>
  <c r="AF249" i="1"/>
  <c r="BN60" i="1"/>
  <c r="BD70" i="1"/>
  <c r="AC229" i="1"/>
  <c r="CF229" i="1"/>
  <c r="L229" i="1"/>
  <c r="CC22" i="1"/>
  <c r="CD25" i="1"/>
  <c r="CM11" i="1"/>
  <c r="BU229" i="1"/>
  <c r="CC15" i="1"/>
  <c r="BQ49" i="1"/>
  <c r="CC147" i="1"/>
  <c r="BF316" i="1"/>
  <c r="Q60" i="1"/>
  <c r="Q296" i="1"/>
  <c r="BM229" i="1"/>
  <c r="AO229" i="1"/>
  <c r="CE18" i="1"/>
  <c r="J18" i="1"/>
  <c r="BN49" i="1"/>
  <c r="F21" i="1"/>
  <c r="CD146" i="1"/>
  <c r="BQ70" i="1"/>
  <c r="CE183" i="1"/>
  <c r="AF296" i="1"/>
  <c r="G306" i="1"/>
  <c r="H229" i="1"/>
  <c r="V249" i="1"/>
  <c r="G31" i="1"/>
  <c r="V296" i="1"/>
  <c r="CC116" i="1"/>
  <c r="AC183" i="1"/>
  <c r="CD81" i="1"/>
  <c r="AX229" i="1"/>
  <c r="AG229" i="1"/>
  <c r="I145" i="1"/>
  <c r="P11" i="1"/>
  <c r="F19" i="1"/>
  <c r="BC56" i="1"/>
  <c r="CV60" i="1"/>
  <c r="BH88" i="1"/>
  <c r="BD296" i="1"/>
  <c r="AF88" i="1"/>
  <c r="CC119" i="1"/>
  <c r="J124" i="1"/>
  <c r="F252" i="1"/>
  <c r="CC17" i="1"/>
  <c r="F148" i="1"/>
  <c r="CE60" i="1"/>
  <c r="BC47" i="1"/>
  <c r="CC29" i="1"/>
  <c r="CU86" i="1"/>
  <c r="BC141" i="1"/>
  <c r="BC139" i="1"/>
  <c r="Q88" i="1"/>
  <c r="BC86" i="1"/>
  <c r="CV222" i="1"/>
  <c r="CC99" i="1"/>
  <c r="F214" i="1"/>
  <c r="J65" i="1"/>
  <c r="BN11" i="1"/>
  <c r="BC38" i="1"/>
  <c r="CV124" i="1"/>
  <c r="BN124" i="1"/>
  <c r="BH124" i="1"/>
  <c r="F91" i="1"/>
  <c r="BC89" i="1"/>
  <c r="CE222" i="1"/>
  <c r="CD223" i="1"/>
  <c r="CD220" i="1"/>
  <c r="F211" i="1"/>
  <c r="F99" i="1"/>
  <c r="CC96" i="1"/>
  <c r="CE88" i="1"/>
  <c r="F77" i="1"/>
  <c r="F268" i="1"/>
  <c r="F213" i="1"/>
  <c r="F261" i="1"/>
  <c r="CC252" i="1"/>
  <c r="F149" i="1"/>
  <c r="BC137" i="1"/>
  <c r="F30" i="1"/>
  <c r="CC86" i="1"/>
  <c r="CK296" i="1"/>
  <c r="BH170" i="1"/>
  <c r="CN160" i="1"/>
  <c r="H160" i="1"/>
  <c r="BH107" i="1"/>
  <c r="BB60" i="1"/>
  <c r="AV229" i="1"/>
  <c r="AM229" i="1"/>
  <c r="G246" i="1"/>
  <c r="CC310" i="1"/>
  <c r="CU129" i="1"/>
  <c r="CQ229" i="1"/>
  <c r="CB229" i="1"/>
  <c r="BT229" i="1"/>
  <c r="CD154" i="1"/>
  <c r="CE153" i="1"/>
  <c r="AK124" i="1"/>
  <c r="I124" i="1"/>
  <c r="BH112" i="1"/>
  <c r="BH103" i="1"/>
  <c r="CV65" i="1"/>
  <c r="G139" i="1"/>
  <c r="BN88" i="1"/>
  <c r="V88" i="1"/>
  <c r="CV88" i="1"/>
  <c r="BC68" i="1"/>
  <c r="V183" i="1"/>
  <c r="F262" i="1"/>
  <c r="E33" i="1"/>
  <c r="BC146" i="1"/>
  <c r="CC21" i="1"/>
  <c r="F17" i="1"/>
  <c r="E251" i="1"/>
  <c r="S235" i="1"/>
  <c r="CC266" i="1"/>
  <c r="G218" i="1"/>
  <c r="L70" i="1"/>
  <c r="J75" i="1" s="1"/>
  <c r="BC203" i="1"/>
  <c r="AB235" i="1"/>
  <c r="G168" i="1"/>
  <c r="J166" i="1"/>
  <c r="I160" i="1"/>
  <c r="I11" i="1"/>
  <c r="CR222" i="1"/>
  <c r="CC149" i="1"/>
  <c r="CC148" i="1"/>
  <c r="CE112" i="1"/>
  <c r="BQ100" i="1"/>
  <c r="CM65" i="1"/>
  <c r="CU56" i="1"/>
  <c r="CT296" i="1"/>
  <c r="AP229" i="1"/>
  <c r="V222" i="1"/>
  <c r="J219" i="1"/>
  <c r="BQ112" i="1"/>
  <c r="CU104" i="1"/>
  <c r="CM70" i="1"/>
  <c r="V71" i="1"/>
  <c r="CG235" i="1"/>
  <c r="CE161" i="1"/>
  <c r="CD164" i="1"/>
  <c r="AF161" i="1"/>
  <c r="G274" i="1"/>
  <c r="Q161" i="1"/>
  <c r="I103" i="1"/>
  <c r="CH170" i="1"/>
  <c r="O145" i="1"/>
  <c r="BN112" i="1"/>
  <c r="BN107" i="1"/>
  <c r="Q100" i="1"/>
  <c r="CU82" i="1"/>
  <c r="BN65" i="1"/>
  <c r="CU36" i="1"/>
  <c r="CX229" i="1"/>
  <c r="AF183" i="1"/>
  <c r="G219" i="1"/>
  <c r="CU223" i="1"/>
  <c r="BN219" i="1"/>
  <c r="CU68" i="1"/>
  <c r="BH65" i="1"/>
  <c r="CU73" i="1"/>
  <c r="BH160" i="1"/>
  <c r="CH88" i="1"/>
  <c r="CU133" i="1"/>
  <c r="CU63" i="1"/>
  <c r="F96" i="1"/>
  <c r="CC27" i="1"/>
  <c r="CC24" i="1"/>
  <c r="F113" i="1"/>
  <c r="F216" i="1"/>
  <c r="CU18" i="1"/>
  <c r="F130" i="1"/>
  <c r="Q49" i="1"/>
  <c r="CH11" i="1"/>
  <c r="CU89" i="1"/>
  <c r="BQ65" i="1"/>
  <c r="E114" i="1"/>
  <c r="CE219" i="1"/>
  <c r="F250" i="1"/>
  <c r="CC95" i="1"/>
  <c r="BQ88" i="1"/>
  <c r="CC26" i="1"/>
  <c r="F258" i="1"/>
  <c r="F215" i="1"/>
  <c r="CC113" i="1"/>
  <c r="J296" i="1"/>
  <c r="CV70" i="1"/>
  <c r="G100" i="1"/>
  <c r="BC220" i="1"/>
  <c r="G275" i="1"/>
  <c r="CC260" i="1"/>
  <c r="BC63" i="1"/>
  <c r="BC181" i="1"/>
  <c r="CJ229" i="1"/>
  <c r="CC16" i="1"/>
  <c r="CD14" i="1"/>
  <c r="BC297" i="1"/>
  <c r="CK229" i="1"/>
  <c r="BX229" i="1"/>
  <c r="CU139" i="1"/>
  <c r="CC130" i="1"/>
  <c r="CH112" i="1"/>
  <c r="Q112" i="1"/>
  <c r="AF107" i="1"/>
  <c r="Q103" i="1"/>
  <c r="G66" i="1"/>
  <c r="BC129" i="1"/>
  <c r="BQ124" i="1"/>
  <c r="F156" i="1"/>
  <c r="BH11" i="1"/>
  <c r="BN145" i="1"/>
  <c r="CC78" i="1"/>
  <c r="F97" i="1"/>
  <c r="F26" i="1"/>
  <c r="F256" i="1"/>
  <c r="F217" i="1"/>
  <c r="F144" i="1"/>
  <c r="CU80" i="1"/>
  <c r="CU71" i="1"/>
  <c r="CC258" i="1"/>
  <c r="AJ160" i="1"/>
  <c r="CA183" i="1"/>
  <c r="AI160" i="1"/>
  <c r="CM166" i="1"/>
  <c r="CD169" i="1"/>
  <c r="AL235" i="1"/>
  <c r="I70" i="1"/>
  <c r="CU153" i="1"/>
  <c r="AF133" i="1"/>
  <c r="G136" i="1"/>
  <c r="CV100" i="1"/>
  <c r="AF100" i="1"/>
  <c r="AF71" i="1"/>
  <c r="CU66" i="1"/>
  <c r="CC110" i="1"/>
  <c r="CC66" i="1"/>
  <c r="CC82" i="1"/>
  <c r="BZ229" i="1"/>
  <c r="V225" i="1"/>
  <c r="BN222" i="1"/>
  <c r="CU121" i="1"/>
  <c r="BQ103" i="1"/>
  <c r="J82" i="1"/>
  <c r="CH65" i="1"/>
  <c r="CD275" i="1"/>
  <c r="BC201" i="1"/>
  <c r="BG112" i="1"/>
  <c r="Y235" i="1"/>
  <c r="U160" i="1"/>
  <c r="I60" i="1"/>
  <c r="I49" i="1"/>
  <c r="BY229" i="1"/>
  <c r="Q170" i="1"/>
  <c r="G154" i="1"/>
  <c r="CM112" i="1"/>
  <c r="CH100" i="1"/>
  <c r="V65" i="1"/>
  <c r="V18" i="1"/>
  <c r="CU12" i="1"/>
  <c r="CC230" i="1"/>
  <c r="F301" i="1"/>
  <c r="BC100" i="1"/>
  <c r="BD222" i="1"/>
  <c r="V219" i="1"/>
  <c r="BD60" i="1"/>
  <c r="F24" i="1"/>
  <c r="BA11" i="1"/>
  <c r="CU125" i="1"/>
  <c r="AF145" i="1"/>
  <c r="CC136" i="1"/>
  <c r="F22" i="1"/>
  <c r="CH296" i="1"/>
  <c r="CE296" i="1"/>
  <c r="CC307" i="1"/>
  <c r="CC289" i="1"/>
  <c r="AI235" i="1"/>
  <c r="CC254" i="1"/>
  <c r="P235" i="1"/>
  <c r="O235" i="1"/>
  <c r="F184" i="1"/>
  <c r="CM235" i="1"/>
  <c r="CC263" i="1"/>
  <c r="AK229" i="1"/>
  <c r="AJ235" i="1"/>
  <c r="X235" i="1"/>
  <c r="W235" i="1"/>
  <c r="F254" i="1"/>
  <c r="F253" i="1"/>
  <c r="F172" i="1"/>
  <c r="AF170" i="1"/>
  <c r="CM124" i="1"/>
  <c r="CC132" i="1"/>
  <c r="CD129" i="1"/>
  <c r="F132" i="1"/>
  <c r="G164" i="1"/>
  <c r="BC110" i="1"/>
  <c r="F111" i="1"/>
  <c r="O160" i="1"/>
  <c r="AF63" i="1"/>
  <c r="G64" i="1"/>
  <c r="E57" i="1"/>
  <c r="BC84" i="1"/>
  <c r="F85" i="1"/>
  <c r="CV49" i="1"/>
  <c r="Q249" i="1"/>
  <c r="CD71" i="1"/>
  <c r="CC72" i="1"/>
  <c r="CD47" i="1"/>
  <c r="CC48" i="1"/>
  <c r="F140" i="1"/>
  <c r="BC92" i="1"/>
  <c r="F138" i="1"/>
  <c r="F95" i="1"/>
  <c r="F94" i="1"/>
  <c r="BC118" i="1"/>
  <c r="BD116" i="1"/>
  <c r="CU58" i="1"/>
  <c r="CU14" i="1"/>
  <c r="CV11" i="1"/>
  <c r="F98" i="1"/>
  <c r="F300" i="1"/>
  <c r="F311" i="1"/>
  <c r="BC310" i="1"/>
  <c r="G314" i="1"/>
  <c r="F315" i="1"/>
  <c r="CD63" i="1"/>
  <c r="CC64" i="1"/>
  <c r="F51" i="1"/>
  <c r="G50" i="1"/>
  <c r="F46" i="1"/>
  <c r="F48" i="1"/>
  <c r="CD137" i="1"/>
  <c r="CC138" i="1"/>
  <c r="F142" i="1"/>
  <c r="G86" i="1"/>
  <c r="BC80" i="1"/>
  <c r="F81" i="1"/>
  <c r="F69" i="1"/>
  <c r="G141" i="1"/>
  <c r="CD92" i="1"/>
  <c r="CC93" i="1"/>
  <c r="BC82" i="1"/>
  <c r="BH70" i="1"/>
  <c r="F52" i="1"/>
  <c r="G89" i="1"/>
  <c r="F206" i="1"/>
  <c r="G146" i="1"/>
  <c r="F147" i="1"/>
  <c r="F131" i="1"/>
  <c r="G129" i="1"/>
  <c r="F126" i="1"/>
  <c r="G125" i="1"/>
  <c r="F67" i="1"/>
  <c r="F40" i="1"/>
  <c r="F230" i="1" l="1"/>
  <c r="E257" i="1"/>
  <c r="E53" i="1"/>
  <c r="CC150" i="1"/>
  <c r="E287" i="1"/>
  <c r="E241" i="1"/>
  <c r="E279" i="1"/>
  <c r="CC232" i="1"/>
  <c r="E200" i="1"/>
  <c r="E157" i="1"/>
  <c r="E178" i="1"/>
  <c r="G226" i="1"/>
  <c r="J73" i="1"/>
  <c r="G75" i="1"/>
  <c r="J14" i="1"/>
  <c r="G16" i="1"/>
  <c r="F16" i="1" s="1"/>
  <c r="E16" i="1" s="1"/>
  <c r="G117" i="1"/>
  <c r="G116" i="1" s="1"/>
  <c r="J116" i="1"/>
  <c r="J112" i="1" s="1"/>
  <c r="J161" i="1"/>
  <c r="E191" i="1"/>
  <c r="E190" i="1" s="1"/>
  <c r="J223" i="1"/>
  <c r="J222" i="1" s="1"/>
  <c r="G224" i="1"/>
  <c r="J92" i="1"/>
  <c r="J88" i="1" s="1"/>
  <c r="G93" i="1"/>
  <c r="CU293" i="1"/>
  <c r="F294" i="1"/>
  <c r="CH229" i="1"/>
  <c r="BH229" i="1"/>
  <c r="K229" i="1"/>
  <c r="J234" i="1" s="1"/>
  <c r="CV229" i="1"/>
  <c r="E259" i="1"/>
  <c r="E247" i="1"/>
  <c r="F291" i="1"/>
  <c r="E272" i="1"/>
  <c r="CC308" i="1"/>
  <c r="CC312" i="1"/>
  <c r="E267" i="1"/>
  <c r="E286" i="1"/>
  <c r="E244" i="1"/>
  <c r="BE316" i="1"/>
  <c r="BV316" i="1"/>
  <c r="F194" i="1"/>
  <c r="E205" i="1"/>
  <c r="E278" i="1"/>
  <c r="E128" i="1"/>
  <c r="AN316" i="1"/>
  <c r="CC196" i="1"/>
  <c r="E188" i="1"/>
  <c r="E288" i="1"/>
  <c r="CC306" i="1"/>
  <c r="E292" i="1"/>
  <c r="E233" i="1"/>
  <c r="E264" i="1"/>
  <c r="E255" i="1"/>
  <c r="CD225" i="1"/>
  <c r="E122" i="1"/>
  <c r="E155" i="1"/>
  <c r="BC222" i="1"/>
  <c r="E281" i="1"/>
  <c r="BC293" i="1"/>
  <c r="BC190" i="1"/>
  <c r="E159" i="1"/>
  <c r="E309" i="1"/>
  <c r="E308" i="1" s="1"/>
  <c r="BQ229" i="1"/>
  <c r="E313" i="1"/>
  <c r="E312" i="1" s="1"/>
  <c r="E282" i="1"/>
  <c r="BN229" i="1"/>
  <c r="E180" i="1"/>
  <c r="E179" i="1" s="1"/>
  <c r="G173" i="1"/>
  <c r="F83" i="1"/>
  <c r="F82" i="1" s="1"/>
  <c r="F220" i="1"/>
  <c r="M316" i="1"/>
  <c r="U229" i="1"/>
  <c r="CC141" i="1"/>
  <c r="G82" i="1"/>
  <c r="E152" i="1"/>
  <c r="G112" i="1"/>
  <c r="N316" i="1"/>
  <c r="E134" i="1"/>
  <c r="F276" i="1"/>
  <c r="E187" i="1"/>
  <c r="CU296" i="1"/>
  <c r="E280" i="1"/>
  <c r="AD229" i="1"/>
  <c r="AD316" i="1" s="1"/>
  <c r="E163" i="1"/>
  <c r="CC276" i="1"/>
  <c r="E204" i="1"/>
  <c r="CU235" i="1"/>
  <c r="E248" i="1"/>
  <c r="CU160" i="1"/>
  <c r="AW316" i="1"/>
  <c r="E237" i="1"/>
  <c r="Z229" i="1"/>
  <c r="Z316" i="1" s="1"/>
  <c r="E277" i="1"/>
  <c r="CC176" i="1"/>
  <c r="F312" i="1"/>
  <c r="CC179" i="1"/>
  <c r="CC186" i="1"/>
  <c r="CC104" i="1"/>
  <c r="E271" i="1"/>
  <c r="CD296" i="1"/>
  <c r="E273" i="1"/>
  <c r="E143" i="1"/>
  <c r="BI316" i="1"/>
  <c r="E174" i="1"/>
  <c r="F192" i="1"/>
  <c r="CC56" i="1"/>
  <c r="CE124" i="1"/>
  <c r="AA229" i="1"/>
  <c r="E185" i="1"/>
  <c r="F56" i="1"/>
  <c r="E284" i="1"/>
  <c r="E283" i="1"/>
  <c r="CO316" i="1"/>
  <c r="CU225" i="1"/>
  <c r="E240" i="1"/>
  <c r="BJ316" i="1"/>
  <c r="CC103" i="1"/>
  <c r="E227" i="1"/>
  <c r="BC225" i="1"/>
  <c r="E135" i="1"/>
  <c r="E35" i="1"/>
  <c r="T316" i="1"/>
  <c r="CC89" i="1"/>
  <c r="CI316" i="1"/>
  <c r="CD170" i="1"/>
  <c r="BB229" i="1"/>
  <c r="E202" i="1"/>
  <c r="CC121" i="1"/>
  <c r="CC226" i="1"/>
  <c r="CC207" i="1"/>
  <c r="E208" i="1"/>
  <c r="E238" i="1"/>
  <c r="E245" i="1"/>
  <c r="E299" i="1"/>
  <c r="G153" i="1"/>
  <c r="CQ316" i="1"/>
  <c r="CD80" i="1"/>
  <c r="V235" i="1"/>
  <c r="AO316" i="1"/>
  <c r="BU316" i="1"/>
  <c r="CF316" i="1"/>
  <c r="AF235" i="1"/>
  <c r="J235" i="1"/>
  <c r="AU316" i="1"/>
  <c r="CC220" i="1"/>
  <c r="CW316" i="1"/>
  <c r="AS316" i="1"/>
  <c r="CC223" i="1"/>
  <c r="BS316" i="1"/>
  <c r="E90" i="1"/>
  <c r="E210" i="1"/>
  <c r="E106" i="1"/>
  <c r="BC235" i="1"/>
  <c r="BO316" i="1"/>
  <c r="E212" i="1"/>
  <c r="CE235" i="1"/>
  <c r="E23" i="1"/>
  <c r="CC58" i="1"/>
  <c r="CC36" i="1"/>
  <c r="F119" i="1"/>
  <c r="E151" i="1"/>
  <c r="E195" i="1"/>
  <c r="CD112" i="1"/>
  <c r="F181" i="1"/>
  <c r="CD107" i="1"/>
  <c r="CC139" i="1"/>
  <c r="G225" i="1"/>
  <c r="F289" i="1"/>
  <c r="E285" i="1"/>
  <c r="F44" i="1"/>
  <c r="E140" i="1"/>
  <c r="CR316" i="1"/>
  <c r="G207" i="1"/>
  <c r="AV316" i="1"/>
  <c r="F76" i="1"/>
  <c r="AX316" i="1"/>
  <c r="CE11" i="1"/>
  <c r="BL316" i="1"/>
  <c r="F78" i="1"/>
  <c r="F15" i="1"/>
  <c r="F43" i="1"/>
  <c r="F20" i="1"/>
  <c r="E20" i="1" s="1"/>
  <c r="CC31" i="1"/>
  <c r="AE316" i="1"/>
  <c r="G71" i="1"/>
  <c r="BW316" i="1"/>
  <c r="E270" i="1"/>
  <c r="E59" i="1"/>
  <c r="E58" i="1" s="1"/>
  <c r="AH316" i="1"/>
  <c r="F196" i="1"/>
  <c r="CU170" i="1"/>
  <c r="E55" i="1"/>
  <c r="CC125" i="1"/>
  <c r="F36" i="1"/>
  <c r="CD65" i="1"/>
  <c r="E13" i="1"/>
  <c r="E175" i="1"/>
  <c r="E74" i="1"/>
  <c r="F29" i="1"/>
  <c r="E177" i="1"/>
  <c r="CC192" i="1"/>
  <c r="E102" i="1"/>
  <c r="F42" i="1"/>
  <c r="G107" i="1"/>
  <c r="F302" i="1"/>
  <c r="CC44" i="1"/>
  <c r="CC171" i="1"/>
  <c r="E109" i="1"/>
  <c r="F226" i="1"/>
  <c r="F186" i="1"/>
  <c r="F121" i="1"/>
  <c r="CC304" i="1"/>
  <c r="CC190" i="1"/>
  <c r="CC84" i="1"/>
  <c r="CC54" i="1"/>
  <c r="CC68" i="1"/>
  <c r="CC291" i="1"/>
  <c r="CC61" i="1"/>
  <c r="G293" i="1"/>
  <c r="CC76" i="1"/>
  <c r="E193" i="1"/>
  <c r="CC81" i="1"/>
  <c r="E303" i="1"/>
  <c r="F54" i="1"/>
  <c r="CC101" i="1"/>
  <c r="CD18" i="1"/>
  <c r="F108" i="1"/>
  <c r="E34" i="1"/>
  <c r="E221" i="1"/>
  <c r="E228" i="1"/>
  <c r="F104" i="1"/>
  <c r="E127" i="1"/>
  <c r="CC25" i="1"/>
  <c r="E172" i="1"/>
  <c r="E123" i="1"/>
  <c r="E189" i="1"/>
  <c r="F176" i="1"/>
  <c r="E37" i="1"/>
  <c r="CD183" i="1"/>
  <c r="BC170" i="1"/>
  <c r="F150" i="1"/>
  <c r="CD49" i="1"/>
  <c r="CC198" i="1"/>
  <c r="E158" i="1"/>
  <c r="G18" i="1"/>
  <c r="F89" i="1"/>
  <c r="E197" i="1"/>
  <c r="E120" i="1"/>
  <c r="AT316" i="1"/>
  <c r="BC160" i="1"/>
  <c r="CU183" i="1"/>
  <c r="L316" i="1"/>
  <c r="BC198" i="1"/>
  <c r="E21" i="1"/>
  <c r="CC146" i="1"/>
  <c r="AY316" i="1"/>
  <c r="BQ11" i="1"/>
  <c r="G249" i="1"/>
  <c r="AC316" i="1"/>
  <c r="AQ316" i="1"/>
  <c r="F173" i="1"/>
  <c r="E77" i="1"/>
  <c r="F72" i="1"/>
  <c r="CC12" i="1"/>
  <c r="E167" i="1"/>
  <c r="G38" i="1"/>
  <c r="BC18" i="1"/>
  <c r="BC124" i="1"/>
  <c r="R316" i="1"/>
  <c r="AG316" i="1"/>
  <c r="CC297" i="1"/>
  <c r="BC14" i="1"/>
  <c r="J11" i="1"/>
  <c r="BQ183" i="1"/>
  <c r="F100" i="1"/>
  <c r="E209" i="1"/>
  <c r="Q11" i="1"/>
  <c r="F28" i="1"/>
  <c r="CC294" i="1"/>
  <c r="E295" i="1"/>
  <c r="F162" i="1"/>
  <c r="E269" i="1"/>
  <c r="CC50" i="1"/>
  <c r="BK316" i="1"/>
  <c r="CE70" i="1"/>
  <c r="E199" i="1"/>
  <c r="V160" i="1"/>
  <c r="BC103" i="1"/>
  <c r="E243" i="1"/>
  <c r="F117" i="1"/>
  <c r="CD293" i="1"/>
  <c r="AF124" i="1"/>
  <c r="F306" i="1"/>
  <c r="E41" i="1"/>
  <c r="F25" i="1"/>
  <c r="BZ316" i="1"/>
  <c r="BT316" i="1"/>
  <c r="AM316" i="1"/>
  <c r="E32" i="1"/>
  <c r="E79" i="1"/>
  <c r="BY316" i="1"/>
  <c r="E99" i="1"/>
  <c r="E96" i="1"/>
  <c r="E252" i="1"/>
  <c r="E26" i="1"/>
  <c r="CN229" i="1"/>
  <c r="BR316" i="1"/>
  <c r="CC274" i="1"/>
  <c r="AZ316" i="1"/>
  <c r="F137" i="1"/>
  <c r="E19" i="1"/>
  <c r="F31" i="1"/>
  <c r="BM316" i="1"/>
  <c r="E138" i="1"/>
  <c r="CC38" i="1"/>
  <c r="E39" i="1"/>
  <c r="BC49" i="1"/>
  <c r="CA316" i="1"/>
  <c r="CC100" i="1"/>
  <c r="BC296" i="1"/>
  <c r="E98" i="1"/>
  <c r="E230" i="1"/>
  <c r="BD112" i="1"/>
  <c r="E94" i="1"/>
  <c r="E181" i="1"/>
  <c r="J160" i="1"/>
  <c r="E301" i="1"/>
  <c r="F154" i="1"/>
  <c r="F201" i="1"/>
  <c r="CU112" i="1"/>
  <c r="AL229" i="1"/>
  <c r="BC60" i="1"/>
  <c r="BC219" i="1"/>
  <c r="E113" i="1"/>
  <c r="J70" i="1"/>
  <c r="E130" i="1"/>
  <c r="CE160" i="1"/>
  <c r="E266" i="1"/>
  <c r="CD249" i="1"/>
  <c r="E17" i="1"/>
  <c r="BC145" i="1"/>
  <c r="E262" i="1"/>
  <c r="BC65" i="1"/>
  <c r="CE145" i="1"/>
  <c r="E268" i="1"/>
  <c r="E260" i="1"/>
  <c r="BX316" i="1"/>
  <c r="V11" i="1"/>
  <c r="BA316" i="1"/>
  <c r="CT316" i="1"/>
  <c r="E29" i="1"/>
  <c r="G49" i="1"/>
  <c r="G296" i="1"/>
  <c r="F297" i="1"/>
  <c r="E43" i="1"/>
  <c r="CC71" i="1"/>
  <c r="BC107" i="1"/>
  <c r="CC92" i="1"/>
  <c r="E142" i="1"/>
  <c r="CC63" i="1"/>
  <c r="CU11" i="1"/>
  <c r="E95" i="1"/>
  <c r="BC88" i="1"/>
  <c r="F139" i="1"/>
  <c r="CC47" i="1"/>
  <c r="E304" i="1"/>
  <c r="Y229" i="1"/>
  <c r="F165" i="1"/>
  <c r="CC169" i="1"/>
  <c r="CD166" i="1"/>
  <c r="E144" i="1"/>
  <c r="E256" i="1"/>
  <c r="E97" i="1"/>
  <c r="CU145" i="1"/>
  <c r="E156" i="1"/>
  <c r="AF70" i="1"/>
  <c r="E258" i="1"/>
  <c r="E250" i="1"/>
  <c r="E24" i="1"/>
  <c r="Q160" i="1"/>
  <c r="AF160" i="1"/>
  <c r="F203" i="1"/>
  <c r="CD153" i="1"/>
  <c r="CC154" i="1"/>
  <c r="CB316" i="1"/>
  <c r="E261" i="1"/>
  <c r="I316" i="1"/>
  <c r="F66" i="1"/>
  <c r="E56" i="1"/>
  <c r="E206" i="1"/>
  <c r="CD88" i="1"/>
  <c r="CC137" i="1"/>
  <c r="CD60" i="1"/>
  <c r="AF60" i="1"/>
  <c r="CU124" i="1"/>
  <c r="CC275" i="1"/>
  <c r="G133" i="1"/>
  <c r="F136" i="1"/>
  <c r="CM160" i="1"/>
  <c r="CC14" i="1"/>
  <c r="F275" i="1"/>
  <c r="CU88" i="1"/>
  <c r="E42" i="1"/>
  <c r="CU222" i="1"/>
  <c r="CG229" i="1"/>
  <c r="V70" i="1"/>
  <c r="CU103" i="1"/>
  <c r="AP316" i="1"/>
  <c r="AB229" i="1"/>
  <c r="F218" i="1"/>
  <c r="S229" i="1"/>
  <c r="BG316" i="1"/>
  <c r="E30" i="1"/>
  <c r="E149" i="1"/>
  <c r="E213" i="1"/>
  <c r="CD219" i="1"/>
  <c r="E214" i="1"/>
  <c r="CU70" i="1"/>
  <c r="E148" i="1"/>
  <c r="E52" i="1"/>
  <c r="CU49" i="1"/>
  <c r="CU65" i="1"/>
  <c r="E217" i="1"/>
  <c r="G65" i="1"/>
  <c r="CK316" i="1"/>
  <c r="CJ316" i="1"/>
  <c r="E215" i="1"/>
  <c r="E216" i="1"/>
  <c r="E27" i="1"/>
  <c r="CU60" i="1"/>
  <c r="CC107" i="1"/>
  <c r="CX316" i="1"/>
  <c r="F274" i="1"/>
  <c r="CC164" i="1"/>
  <c r="CD161" i="1"/>
  <c r="F168" i="1"/>
  <c r="G166" i="1"/>
  <c r="F246" i="1"/>
  <c r="H316" i="1"/>
  <c r="E211" i="1"/>
  <c r="CD222" i="1"/>
  <c r="E91" i="1"/>
  <c r="CC133" i="1"/>
  <c r="E22" i="1"/>
  <c r="E307" i="1"/>
  <c r="E289" i="1"/>
  <c r="AI229" i="1"/>
  <c r="Q235" i="1"/>
  <c r="P229" i="1"/>
  <c r="O229" i="1"/>
  <c r="E184" i="1"/>
  <c r="E263" i="1"/>
  <c r="CM229" i="1"/>
  <c r="AK316" i="1"/>
  <c r="AJ229" i="1"/>
  <c r="X229" i="1"/>
  <c r="W229" i="1"/>
  <c r="E254" i="1"/>
  <c r="E253" i="1"/>
  <c r="F171" i="1"/>
  <c r="CC129" i="1"/>
  <c r="CD124" i="1"/>
  <c r="E132" i="1"/>
  <c r="F110" i="1"/>
  <c r="E111" i="1"/>
  <c r="F84" i="1"/>
  <c r="E85" i="1"/>
  <c r="G63" i="1"/>
  <c r="F64" i="1"/>
  <c r="F164" i="1"/>
  <c r="G161" i="1"/>
  <c r="F141" i="1"/>
  <c r="F118" i="1"/>
  <c r="BC116" i="1"/>
  <c r="BC70" i="1"/>
  <c r="E300" i="1"/>
  <c r="E311" i="1"/>
  <c r="F310" i="1"/>
  <c r="E315" i="1"/>
  <c r="F314" i="1"/>
  <c r="E83" i="1"/>
  <c r="E69" i="1"/>
  <c r="F68" i="1"/>
  <c r="F80" i="1"/>
  <c r="F86" i="1"/>
  <c r="E87" i="1"/>
  <c r="F47" i="1"/>
  <c r="E48" i="1"/>
  <c r="E46" i="1"/>
  <c r="F50" i="1"/>
  <c r="E51" i="1"/>
  <c r="E147" i="1"/>
  <c r="F146" i="1"/>
  <c r="E131" i="1"/>
  <c r="F129" i="1"/>
  <c r="E126" i="1"/>
  <c r="F125" i="1"/>
  <c r="E67" i="1"/>
  <c r="E40" i="1"/>
  <c r="F14" i="1" l="1"/>
  <c r="E150" i="1"/>
  <c r="G92" i="1"/>
  <c r="G88" i="1" s="1"/>
  <c r="F93" i="1"/>
  <c r="G223" i="1"/>
  <c r="G222" i="1" s="1"/>
  <c r="F224" i="1"/>
  <c r="G73" i="1"/>
  <c r="G70" i="1" s="1"/>
  <c r="F75" i="1"/>
  <c r="G14" i="1"/>
  <c r="J232" i="1"/>
  <c r="G234" i="1"/>
  <c r="K316" i="1"/>
  <c r="CV316" i="1"/>
  <c r="BH316" i="1"/>
  <c r="F293" i="1"/>
  <c r="CH316" i="1"/>
  <c r="E291" i="1"/>
  <c r="CU229" i="1"/>
  <c r="CE229" i="1"/>
  <c r="F225" i="1"/>
  <c r="CC219" i="1"/>
  <c r="G170" i="1"/>
  <c r="AF229" i="1"/>
  <c r="BN316" i="1"/>
  <c r="E176" i="1"/>
  <c r="CC225" i="1"/>
  <c r="CD70" i="1"/>
  <c r="U316" i="1"/>
  <c r="V229" i="1"/>
  <c r="J229" i="1"/>
  <c r="CC222" i="1"/>
  <c r="E104" i="1"/>
  <c r="E194" i="1"/>
  <c r="CC170" i="1"/>
  <c r="G183" i="1"/>
  <c r="E139" i="1"/>
  <c r="E192" i="1"/>
  <c r="G145" i="1"/>
  <c r="F219" i="1"/>
  <c r="CC65" i="1"/>
  <c r="E302" i="1"/>
  <c r="F38" i="1"/>
  <c r="E171" i="1"/>
  <c r="E36" i="1"/>
  <c r="E81" i="1"/>
  <c r="AA316" i="1"/>
  <c r="CC296" i="1"/>
  <c r="E173" i="1"/>
  <c r="E276" i="1"/>
  <c r="CC112" i="1"/>
  <c r="CD11" i="1"/>
  <c r="E220" i="1"/>
  <c r="E186" i="1"/>
  <c r="BB316" i="1"/>
  <c r="E15" i="1"/>
  <c r="E44" i="1"/>
  <c r="E25" i="1"/>
  <c r="G11" i="1"/>
  <c r="E72" i="1"/>
  <c r="G235" i="1"/>
  <c r="BC183" i="1"/>
  <c r="E119" i="1"/>
  <c r="E226" i="1"/>
  <c r="CC18" i="1"/>
  <c r="E121" i="1"/>
  <c r="CC183" i="1"/>
  <c r="CC80" i="1"/>
  <c r="E137" i="1"/>
  <c r="E78" i="1"/>
  <c r="BQ316" i="1"/>
  <c r="E76" i="1"/>
  <c r="E196" i="1"/>
  <c r="F103" i="1"/>
  <c r="E108" i="1"/>
  <c r="E101" i="1"/>
  <c r="E12" i="1"/>
  <c r="E54" i="1"/>
  <c r="BC229" i="1"/>
  <c r="F71" i="1"/>
  <c r="BC11" i="1"/>
  <c r="E28" i="1"/>
  <c r="CC49" i="1"/>
  <c r="E117" i="1"/>
  <c r="E294" i="1"/>
  <c r="CC293" i="1"/>
  <c r="E162" i="1"/>
  <c r="G124" i="1"/>
  <c r="CC249" i="1"/>
  <c r="E31" i="1"/>
  <c r="CN316" i="1"/>
  <c r="F18" i="1"/>
  <c r="CM316" i="1"/>
  <c r="F249" i="1"/>
  <c r="F65" i="1"/>
  <c r="F170" i="1"/>
  <c r="CU316" i="1"/>
  <c r="CC161" i="1"/>
  <c r="E38" i="1"/>
  <c r="E50" i="1"/>
  <c r="E314" i="1"/>
  <c r="G160" i="1"/>
  <c r="F49" i="1"/>
  <c r="E68" i="1"/>
  <c r="BC112" i="1"/>
  <c r="E274" i="1"/>
  <c r="CC60" i="1"/>
  <c r="CC88" i="1"/>
  <c r="CD235" i="1"/>
  <c r="AL316" i="1"/>
  <c r="E71" i="1"/>
  <c r="E146" i="1"/>
  <c r="F296" i="1"/>
  <c r="E246" i="1"/>
  <c r="E47" i="1"/>
  <c r="E297" i="1"/>
  <c r="E66" i="1"/>
  <c r="E125" i="1"/>
  <c r="E86" i="1"/>
  <c r="E82" i="1"/>
  <c r="E310" i="1"/>
  <c r="E110" i="1"/>
  <c r="CD160" i="1"/>
  <c r="E218" i="1"/>
  <c r="F207" i="1"/>
  <c r="E275" i="1"/>
  <c r="E203" i="1"/>
  <c r="E154" i="1"/>
  <c r="F153" i="1"/>
  <c r="BD316" i="1"/>
  <c r="E141" i="1"/>
  <c r="F107" i="1"/>
  <c r="S316" i="1"/>
  <c r="AB316" i="1"/>
  <c r="CG316" i="1"/>
  <c r="F133" i="1"/>
  <c r="E136" i="1"/>
  <c r="CC153" i="1"/>
  <c r="CC166" i="1"/>
  <c r="E169" i="1"/>
  <c r="E201" i="1"/>
  <c r="F198" i="1"/>
  <c r="G60" i="1"/>
  <c r="E84" i="1"/>
  <c r="F166" i="1"/>
  <c r="E168" i="1"/>
  <c r="CD145" i="1"/>
  <c r="E165" i="1"/>
  <c r="Y316" i="1"/>
  <c r="E89" i="1"/>
  <c r="E306" i="1"/>
  <c r="AI316" i="1"/>
  <c r="Q229" i="1"/>
  <c r="P316" i="1"/>
  <c r="O316" i="1"/>
  <c r="AJ316" i="1"/>
  <c r="X316" i="1"/>
  <c r="W316" i="1"/>
  <c r="E129" i="1"/>
  <c r="CC124" i="1"/>
  <c r="F63" i="1"/>
  <c r="E64" i="1"/>
  <c r="E164" i="1"/>
  <c r="F161" i="1"/>
  <c r="E118" i="1"/>
  <c r="F116" i="1"/>
  <c r="F73" i="1" l="1"/>
  <c r="E75" i="1"/>
  <c r="E73" i="1" s="1"/>
  <c r="E224" i="1"/>
  <c r="E223" i="1" s="1"/>
  <c r="F223" i="1"/>
  <c r="F222" i="1" s="1"/>
  <c r="F92" i="1"/>
  <c r="F88" i="1" s="1"/>
  <c r="E93" i="1"/>
  <c r="E92" i="1" s="1"/>
  <c r="E88" i="1" s="1"/>
  <c r="G232" i="1"/>
  <c r="F234" i="1"/>
  <c r="AF316" i="1"/>
  <c r="CE316" i="1"/>
  <c r="V316" i="1"/>
  <c r="E222" i="1"/>
  <c r="F235" i="1"/>
  <c r="E103" i="1"/>
  <c r="E170" i="1"/>
  <c r="J316" i="1"/>
  <c r="CC70" i="1"/>
  <c r="E80" i="1"/>
  <c r="F70" i="1"/>
  <c r="G229" i="1"/>
  <c r="E219" i="1"/>
  <c r="E225" i="1"/>
  <c r="E14" i="1"/>
  <c r="CC11" i="1"/>
  <c r="CC235" i="1"/>
  <c r="E18" i="1"/>
  <c r="E100" i="1"/>
  <c r="E293" i="1"/>
  <c r="F124" i="1"/>
  <c r="F11" i="1"/>
  <c r="E249" i="1"/>
  <c r="E116" i="1"/>
  <c r="E63" i="1"/>
  <c r="E49" i="1"/>
  <c r="E65" i="1"/>
  <c r="F60" i="1"/>
  <c r="E198" i="1"/>
  <c r="E207" i="1"/>
  <c r="E107" i="1"/>
  <c r="F160" i="1"/>
  <c r="E133" i="1"/>
  <c r="E153" i="1"/>
  <c r="F145" i="1"/>
  <c r="BC316" i="1"/>
  <c r="F112" i="1"/>
  <c r="E161" i="1"/>
  <c r="E166" i="1"/>
  <c r="CD229" i="1"/>
  <c r="CC160" i="1"/>
  <c r="F183" i="1"/>
  <c r="CC145" i="1"/>
  <c r="E296" i="1"/>
  <c r="Q316" i="1"/>
  <c r="E234" i="1" l="1"/>
  <c r="E232" i="1" s="1"/>
  <c r="F232" i="1"/>
  <c r="F229" i="1" s="1"/>
  <c r="F316" i="1" s="1"/>
  <c r="E11" i="1"/>
  <c r="E70" i="1"/>
  <c r="CC229" i="1"/>
  <c r="G316" i="1"/>
  <c r="E124" i="1"/>
  <c r="E235" i="1"/>
  <c r="CD316" i="1"/>
  <c r="E112" i="1"/>
  <c r="E145" i="1"/>
  <c r="E160" i="1"/>
  <c r="E60" i="1"/>
  <c r="E183" i="1"/>
  <c r="E229" i="1" l="1"/>
  <c r="CC316" i="1"/>
  <c r="E316" i="1"/>
</calcChain>
</file>

<file path=xl/sharedStrings.xml><?xml version="1.0" encoding="utf-8"?>
<sst xmlns="http://schemas.openxmlformats.org/spreadsheetml/2006/main" count="1261" uniqueCount="639">
  <si>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</si>
  <si>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</si>
  <si>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</si>
  <si>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</si>
  <si>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</si>
  <si>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</si>
  <si>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</si>
  <si>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</si>
  <si>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</si>
  <si>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</si>
  <si>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</si>
  <si>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</si>
  <si>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</si>
  <si>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</si>
  <si>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</si>
  <si>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</si>
  <si>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</si>
  <si>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Функцион.</t>
  </si>
  <si>
    <t>Всего</t>
  </si>
  <si>
    <t>Медикаменты</t>
  </si>
  <si>
    <t>Мягкий инвент. и обмундир.</t>
  </si>
  <si>
    <t>Содерж. автотр-та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</si>
  <si>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</si>
  <si>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</si>
  <si>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</si>
  <si>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</si>
  <si>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</si>
  <si>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</si>
  <si>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</si>
  <si>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</si>
  <si>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</si>
  <si>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</si>
  <si>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</si>
  <si>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</si>
  <si>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</si>
  <si>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</si>
  <si>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</si>
  <si>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</si>
  <si>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</si>
  <si>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</si>
  <si>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</si>
  <si>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</si>
  <si>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</si>
  <si>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</si>
  <si>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</si>
  <si>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</si>
  <si>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Проч. тр-ты на прод. и услуги</t>
  </si>
  <si>
    <t>Трансферты на произв. цели</t>
  </si>
  <si>
    <t>Проч. тр-ты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</si>
  <si>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</si>
  <si>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</si>
  <si>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</si>
  <si>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</si>
  <si>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</si>
  <si>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</si>
  <si>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</si>
  <si>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Приобр. оборуд.</t>
  </si>
  <si>
    <t>Приобр. произв. оборуд.</t>
  </si>
  <si>
    <t>Приобр. непроизв. оборуд.</t>
  </si>
  <si>
    <t>В строит. админ. зданий</t>
  </si>
  <si>
    <t>Уплата % и погашение внутр-х кредитов</t>
  </si>
  <si>
    <t>Уплата % по внутр-м кредитам</t>
  </si>
  <si>
    <t>Погашение внутр-х кредитов</t>
  </si>
  <si>
    <t>Раздел</t>
  </si>
  <si>
    <t>Под-раздел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</si>
  <si>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</si>
  <si>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</si>
  <si>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</si>
  <si>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</si>
  <si>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</si>
  <si>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</si>
  <si>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</si>
  <si>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</si>
  <si>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</si>
  <si>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</si>
  <si>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</si>
  <si>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</si>
  <si>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</si>
  <si>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</si>
  <si>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</si>
  <si>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</si>
  <si>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</si>
  <si>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</si>
  <si>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</si>
  <si>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</si>
  <si>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</si>
  <si>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</si>
  <si>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</si>
  <si>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</si>
  <si>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</si>
  <si>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</si>
  <si>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</si>
  <si>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</si>
  <si>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</si>
  <si>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</si>
  <si>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</si>
  <si>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</si>
  <si>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</si>
  <si>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</si>
  <si>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</si>
  <si>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</si>
  <si>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</si>
  <si>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</si>
  <si>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</si>
  <si>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</si>
  <si>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</si>
  <si>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</si>
  <si>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</si>
  <si>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</si>
  <si>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</si>
  <si>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</si>
  <si>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</si>
  <si>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</si>
  <si>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</si>
  <si>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</si>
  <si>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</si>
  <si>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</si>
  <si>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Министерство финансов (подведомственные)</t>
  </si>
  <si>
    <t>0105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</si>
  <si>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</si>
  <si>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</si>
  <si>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</si>
  <si>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0108</t>
  </si>
  <si>
    <t>Функционирование органов статистики</t>
  </si>
  <si>
    <t>ГС статистики ПМР (территор.упр-я статистики)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</si>
  <si>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</si>
  <si>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</si>
  <si>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</si>
  <si>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</si>
  <si>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</si>
  <si>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</si>
  <si>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</si>
  <si>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</si>
  <si>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</si>
  <si>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</si>
  <si>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</si>
  <si>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</si>
  <si>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</si>
  <si>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</si>
  <si>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</si>
  <si>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</si>
  <si>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</si>
  <si>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</si>
  <si>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</si>
  <si>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</si>
  <si>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</si>
  <si>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</si>
  <si>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</si>
  <si>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</si>
  <si>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</si>
  <si>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</si>
  <si>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</si>
  <si>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</si>
  <si>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</si>
  <si>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</si>
  <si>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</si>
  <si>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</si>
  <si>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</si>
  <si>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</si>
  <si>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</si>
  <si>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</si>
  <si>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</si>
  <si>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</si>
  <si>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</si>
  <si>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</si>
  <si>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</si>
  <si>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</si>
  <si>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</si>
  <si>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</si>
  <si>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</si>
  <si>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</si>
  <si>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</si>
  <si>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</si>
  <si>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</si>
  <si>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</si>
  <si>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</si>
  <si>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</si>
  <si>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</si>
  <si>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</si>
  <si>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</si>
  <si>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</si>
  <si>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</si>
  <si>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</si>
  <si>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</si>
  <si>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</si>
  <si>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</si>
  <si>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</si>
  <si>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</si>
  <si>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</si>
  <si>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</si>
  <si>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</si>
  <si>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</si>
  <si>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</si>
  <si>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</si>
  <si>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</si>
  <si>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</si>
  <si>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</si>
  <si>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</si>
  <si>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</si>
  <si>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</si>
  <si>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</si>
  <si>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</si>
  <si>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</si>
  <si>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</si>
  <si>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</si>
  <si>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</si>
  <si>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</si>
  <si>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</si>
  <si>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</si>
  <si>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Государственная служба охраны ПМР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</si>
  <si>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</si>
  <si>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</si>
  <si>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</si>
  <si>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</si>
  <si>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</si>
  <si>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</si>
  <si>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</si>
  <si>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</si>
  <si>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</si>
  <si>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</si>
  <si>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</si>
  <si>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</si>
  <si>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</si>
  <si>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</si>
  <si>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</si>
  <si>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</si>
  <si>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</si>
  <si>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</si>
  <si>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</si>
  <si>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</si>
  <si>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</si>
  <si>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</si>
  <si>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</si>
  <si>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</si>
  <si>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ГС связи (почты)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</si>
  <si>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</si>
  <si>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</si>
  <si>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</si>
  <si>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</si>
  <si>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</si>
  <si>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</si>
  <si>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</si>
  <si>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</si>
  <si>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</si>
  <si>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</si>
  <si>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</si>
  <si>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</si>
  <si>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</si>
  <si>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</si>
  <si>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</si>
  <si>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</si>
  <si>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</si>
  <si>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</si>
  <si>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</si>
  <si>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</si>
  <si>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</si>
  <si>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</si>
  <si>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</si>
  <si>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</si>
  <si>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</si>
  <si>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</si>
  <si>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</si>
  <si>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</si>
  <si>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</si>
  <si>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</si>
  <si>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</si>
  <si>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</si>
  <si>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</si>
  <si>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</si>
  <si>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</si>
  <si>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</si>
  <si>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</si>
  <si>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</si>
  <si>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</si>
  <si>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</si>
  <si>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</si>
  <si>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</si>
  <si>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</si>
  <si>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</si>
  <si>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</si>
  <si>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</si>
  <si>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</si>
  <si>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</si>
  <si>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</si>
  <si>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</si>
  <si>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</si>
  <si>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</si>
  <si>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</si>
  <si>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</si>
  <si>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</si>
  <si>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ГС СМИ (ПГТРК)</t>
  </si>
  <si>
    <t>ГС связи (ретрансляция)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</si>
  <si>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</si>
  <si>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</si>
  <si>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</si>
  <si>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</si>
  <si>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</si>
  <si>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</si>
  <si>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</si>
  <si>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</si>
  <si>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</si>
  <si>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</si>
  <si>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</si>
  <si>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</si>
  <si>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</si>
  <si>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</si>
  <si>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</si>
  <si>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</si>
  <si>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</si>
  <si>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</si>
  <si>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</si>
  <si>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</si>
  <si>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</si>
  <si>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</si>
  <si>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</si>
  <si>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</si>
  <si>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</si>
  <si>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</si>
  <si>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</si>
  <si>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</si>
  <si>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</si>
  <si>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</si>
  <si>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</si>
  <si>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</si>
  <si>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</si>
  <si>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</si>
  <si>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</si>
  <si>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</si>
  <si>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</si>
  <si>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</si>
  <si>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</si>
  <si>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</si>
  <si>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</si>
  <si>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</si>
  <si>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</si>
  <si>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</si>
  <si>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</si>
  <si>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</si>
  <si>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</si>
  <si>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</si>
  <si>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</si>
  <si>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</si>
  <si>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</si>
  <si>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</si>
  <si>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</si>
  <si>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</si>
  <si>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</si>
  <si>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</si>
  <si>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</si>
  <si>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</si>
  <si>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</si>
  <si>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</si>
  <si>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</si>
  <si>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</si>
  <si>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</si>
  <si>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</si>
  <si>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Дотации (трансферты) на покрытие дефицита МБ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</si>
  <si>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</si>
  <si>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</si>
  <si>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</si>
  <si>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</si>
  <si>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</si>
  <si>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</si>
  <si>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</si>
  <si>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</si>
  <si>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Проведение выборов Президента ПМР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</si>
  <si>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</si>
  <si>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</si>
  <si>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</si>
  <si>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</si>
  <si>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</si>
  <si>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</si>
  <si>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Мероприятия по обнов. уч. фондов орг. общего образования</t>
  </si>
  <si>
    <t>Расходы на формирование зем.участков и сост.планов зем.уч.</t>
  </si>
  <si>
    <t>Создание и модернизация информац. ресурсов в сфере налогообложения и бюджетного процесса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</si>
  <si>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</si>
  <si>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</si>
  <si>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</si>
  <si>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</si>
  <si>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</si>
  <si>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</si>
  <si>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</si>
  <si>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</si>
  <si>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</si>
  <si>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</si>
  <si>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</si>
  <si>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</si>
  <si>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</si>
  <si>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</si>
  <si>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</si>
  <si>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</si>
  <si>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</si>
  <si>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</si>
  <si>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</si>
  <si>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</si>
  <si>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</si>
  <si>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</si>
  <si>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</si>
  <si>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</si>
  <si>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</si>
  <si>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</si>
  <si>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</si>
  <si>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</si>
  <si>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</si>
  <si>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</si>
  <si>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</si>
  <si>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</si>
  <si>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</si>
  <si>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</si>
  <si>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</si>
  <si>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</si>
  <si>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</si>
  <si>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</si>
  <si>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</si>
  <si>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</si>
  <si>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</si>
  <si>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</si>
  <si>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</si>
  <si>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</si>
  <si>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</si>
  <si>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</si>
  <si>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</si>
  <si>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</si>
  <si>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</si>
  <si>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</si>
  <si>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</si>
  <si>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</si>
  <si>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</si>
  <si>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</si>
  <si>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</si>
  <si>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</si>
  <si>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</si>
  <si>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</si>
  <si>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</si>
  <si>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</si>
  <si>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</si>
  <si>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</si>
  <si>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</si>
  <si>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</si>
  <si>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</si>
  <si>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</si>
  <si>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</si>
  <si>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</si>
  <si>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</si>
  <si>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</si>
  <si>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</si>
  <si>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</si>
  <si>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Министерство с/х и природных ресурсов</t>
  </si>
  <si>
    <t>ПГУ им. Т. Г. Шевченко (Центр российского образования и науки)</t>
  </si>
  <si>
    <t>Мин-во с/х и прир.рес. (оросительные системы)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</si>
  <si>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</si>
  <si>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</si>
  <si>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</si>
  <si>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ГСКиИН ПМР "Центр национальных культур Приднестровья"</t>
  </si>
  <si>
    <t>Расходы на ремонт квартир инвалидам - защитникам ПМР</t>
  </si>
  <si>
    <t>Льготы отдельным категориям населения на ЖКУ</t>
  </si>
  <si>
    <t>МЭР (возмещение льготы на коммунальные услуги)</t>
  </si>
  <si>
    <t>ГС связи (возмещение льготы на услуги связи)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</si>
  <si>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</si>
  <si>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</si>
  <si>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</si>
  <si>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</si>
  <si>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</si>
  <si>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</si>
  <si>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</si>
  <si>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</si>
  <si>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1900</t>
  </si>
  <si>
    <t>ПОПОЛНЕНИЕ ГОСУДАРСТВЕННЫХ РЕЗЕРВОВ</t>
  </si>
  <si>
    <t>1903</t>
  </si>
  <si>
    <t>Фонд государственного резерва ПМР</t>
  </si>
  <si>
    <t>Финансовая помощь бюджетам др. уровней</t>
  </si>
  <si>
    <t xml:space="preserve">Погашение к/з по ГИС в сфере закупок      </t>
  </si>
  <si>
    <t>Мероприятия по развитию мин.-сырьевой базы и охраны недр</t>
  </si>
  <si>
    <t>"Обеспечение рабочими тетрадями уч.                                                 1-4-х  классов"</t>
  </si>
  <si>
    <t>Субсидии на осуществление программы "Столица"</t>
  </si>
  <si>
    <t>Расходы от оказ.плат.усл. (по госзаказу ПГУ)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</si>
  <si>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</si>
  <si>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</si>
  <si>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оказ.плат.усл., театр</t>
  </si>
  <si>
    <t>Расходы от оказ.плат.усл.  (РКВЦ)</t>
  </si>
  <si>
    <t>Расходы от оказ. плат. усл. (ГУ "Архивы Приднестровья")</t>
  </si>
  <si>
    <t>ГП приватизации и расзгосударствления</t>
  </si>
  <si>
    <t>Программа обеспечения жильем детей-сирот</t>
  </si>
  <si>
    <t>ГЦП "Льготное кред. инвалидов общего заболевания, инвалидов по зрению на 2021-2023 гг."</t>
  </si>
  <si>
    <t>ГЦП "Профилактика вирусных гепатитов В и С в ПМР" 2021-2024 гг.</t>
  </si>
  <si>
    <t>ГЦП "Стратегия развития ПГУ                                                         им. Т. Г. Шевченко"</t>
  </si>
  <si>
    <t>ГЦП "Равные возможности" на 2019-2022 годы</t>
  </si>
  <si>
    <t>ГЦП "Сохран. недвижимых объектов культурного наследия"</t>
  </si>
  <si>
    <t>Субсидии  ГА г. Бендеры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</si>
  <si>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</si>
  <si>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</si>
  <si>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</si>
  <si>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</si>
  <si>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</si>
  <si>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</si>
  <si>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</si>
  <si>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</si>
  <si>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</si>
  <si>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</si>
  <si>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</si>
  <si>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</si>
  <si>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</si>
  <si>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</si>
  <si>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</si>
  <si>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</si>
  <si>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</si>
  <si>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</si>
  <si>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</si>
  <si>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</si>
  <si>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</si>
  <si>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</si>
  <si>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</si>
  <si>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</si>
  <si>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</si>
  <si>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</si>
  <si>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</si>
  <si>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</si>
  <si>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</si>
  <si>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</si>
  <si>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</si>
  <si>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</si>
  <si>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</si>
  <si>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</si>
  <si>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</si>
  <si>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</si>
  <si>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</si>
  <si>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</si>
  <si>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</si>
  <si>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</si>
  <si>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</si>
  <si>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</si>
  <si>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</si>
  <si>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</si>
  <si>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</si>
  <si>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</si>
  <si>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</si>
  <si>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</si>
  <si>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</si>
  <si>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</si>
  <si>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</si>
  <si>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</si>
  <si>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</si>
  <si>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</si>
  <si>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[130270]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</si>
  <si>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</si>
  <si>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</si>
  <si>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</si>
  <si>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</si>
  <si>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</si>
  <si>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</si>
  <si>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</si>
  <si>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</si>
  <si>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</si>
  <si>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</si>
  <si>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</si>
  <si>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</si>
  <si>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</si>
  <si>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</si>
  <si>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</si>
  <si>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</si>
  <si>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</si>
  <si>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</si>
  <si>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</si>
  <si>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</si>
  <si>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</si>
  <si>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</si>
  <si>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</si>
  <si>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</si>
  <si>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[240230]</t>
  </si>
  <si>
    <t>[240240]</t>
  </si>
  <si>
    <t>[240250]</t>
  </si>
  <si>
    <t>[240300]</t>
  </si>
  <si>
    <t>[240330]</t>
  </si>
  <si>
    <t>[240340]</t>
  </si>
  <si>
    <t>[240350]</t>
  </si>
  <si>
    <t>[240360]</t>
  </si>
  <si>
    <t>[250000]</t>
  </si>
  <si>
    <t>[250100]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</si>
  <si>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</si>
  <si>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</si>
  <si>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</si>
  <si>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</si>
  <si>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</si>
  <si>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</si>
  <si>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"О республиканском бюджете на 2021 год"</t>
  </si>
  <si>
    <t>Предельные  расходы республиканского бюджета на 2021 год</t>
  </si>
  <si>
    <t>(руб.)</t>
  </si>
  <si>
    <t>Протези-рование</t>
  </si>
  <si>
    <t>Услуги судмед-экспертизы</t>
  </si>
  <si>
    <t>Из Дорожного фонда</t>
  </si>
  <si>
    <t>СРЕДСТВА, ПЕРЕДАВ. БЮДЖ. ДР. УР.</t>
  </si>
  <si>
    <t>КАПИТ. РАСХОДЫ</t>
  </si>
  <si>
    <t>В строит. объект. соц.- культ. назнач.</t>
  </si>
  <si>
    <t>Капитальн. ремонт</t>
  </si>
  <si>
    <t>объект. соц.-культ. назнач.</t>
  </si>
  <si>
    <t>админ. зданий</t>
  </si>
  <si>
    <t>транспортн. средств</t>
  </si>
  <si>
    <t>прочих объектов</t>
  </si>
  <si>
    <t>Создание госрезервов</t>
  </si>
  <si>
    <t>Расходы на цели  реализации решений по повышению доходов работников бюджетной сферы и пенсионеров</t>
  </si>
  <si>
    <t>Субсидирование социально значимых маршрутов</t>
  </si>
  <si>
    <t>[130430]</t>
  </si>
  <si>
    <t>Безвозмездная помощь РФ сельхозпроизводителям</t>
  </si>
  <si>
    <t>Резерв Дорожного фонда ПМР</t>
  </si>
  <si>
    <t>МЭР ПМР (территор.упр-я статистики)</t>
  </si>
  <si>
    <t>[111048]</t>
  </si>
  <si>
    <t>Штрафы</t>
  </si>
  <si>
    <t>ГС экологического контроля и охраны окр. среды ПМР</t>
  </si>
  <si>
    <t>Министерство цифрового развития, связи и массовых коммуникаций (лицен. сбор)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</si>
  <si>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</si>
  <si>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</si>
  <si>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</si>
  <si>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</si>
  <si>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</si>
  <si>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</si>
  <si>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</si>
  <si>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КАП. ВЛОЖЕ-НИЯ В ОСНОВ-НЫЕ ФОНДЫ</t>
  </si>
  <si>
    <t>В строит. комун. сферы</t>
  </si>
  <si>
    <t>СОЗДАНИЕ ГОСУД. РЕЗЕРВОВ</t>
  </si>
  <si>
    <t>УЧАСТИЕ ПРАВ-ВА В ОСУЩ-ИИ ОТД-Х ПРОГР.</t>
  </si>
  <si>
    <t>УПЛАТА % И ПОГАШ. КРЕДИТОВ СОГЛ. ДОГОВО-РАМ, ЗАКЛЮЧ-М С ГЛ.РАСП-МИ КРЕД.</t>
  </si>
  <si>
    <t>0508</t>
  </si>
  <si>
    <t>Субсидии с/х производителей</t>
  </si>
  <si>
    <t>Министерство цифрового развития, связи и массовых коммуникаций (возмещение льготы по усл. связи)</t>
  </si>
  <si>
    <t>Приложение № 2.2</t>
  </si>
  <si>
    <t>Другие трансферты</t>
  </si>
  <si>
    <t>ПРИОБР. ПРЕДМ. СНАБЖ. И РАСХ. МАТЕРИА- ЛОВ</t>
  </si>
  <si>
    <t>НАЧИСЛЕ- НИЯ НА ОПЛАТУ ТРУДА</t>
  </si>
  <si>
    <t>КОМАНДИ-РОВКИ И СЛУЖЕБ- НЫЕ РАЗЪЕЗДЫ</t>
  </si>
  <si>
    <t>Проч. расх. мат-лы и предм.            снаб-я</t>
  </si>
  <si>
    <t>Оплата услуг по типовому проектиро- ванию</t>
  </si>
  <si>
    <t>Усл. науч-исслед.      орг-ций</t>
  </si>
  <si>
    <t>На покрытие потерь от льгот по             тр-ту</t>
  </si>
  <si>
    <t>Расходы на осуществлен. г. Тираспо-  лем функций столицы</t>
  </si>
  <si>
    <t>Пенсии и пособия, возмеща-    емые из бюджета</t>
  </si>
  <si>
    <t>Прочие              тр-ты населению</t>
  </si>
  <si>
    <t>Кап. влож. в строитель-    ство</t>
  </si>
  <si>
    <t>В жил. строитель-      ство</t>
  </si>
  <si>
    <t>Оплата расходов, связанная с выполне-          нием           НИР ОКиТ работ по гос. Контрактам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</si>
</sst>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;@"/>
    <numFmt numFmtId="165" formatCode="#,##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82">
    <xf numFmtId="0" fontId="0" fillId="0" borderId="0" xfId="0"/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165" fontId="7" fillId="2" borderId="11" xfId="0" applyNumberFormat="1" applyFont="1" applyFill="1" applyBorder="1" applyAlignment="1">
      <alignment vertical="center"/>
    </xf>
    <xf numFmtId="165" fontId="8" fillId="2" borderId="11" xfId="0" applyNumberFormat="1" applyFont="1" applyFill="1" applyBorder="1" applyAlignment="1">
      <alignment vertical="center"/>
    </xf>
    <xf numFmtId="165" fontId="8" fillId="2" borderId="12" xfId="0" applyNumberFormat="1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165" fontId="8" fillId="0" borderId="8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 wrapText="1"/>
    </xf>
    <xf numFmtId="165" fontId="7" fillId="0" borderId="8" xfId="0" applyNumberFormat="1" applyFont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165" fontId="8" fillId="2" borderId="9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165" fontId="11" fillId="0" borderId="0" xfId="0" applyNumberFormat="1" applyFont="1"/>
    <xf numFmtId="3" fontId="11" fillId="0" borderId="0" xfId="0" applyNumberFormat="1" applyFont="1"/>
    <xf numFmtId="164" fontId="4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right" vertical="center"/>
    </xf>
    <xf numFmtId="0" fontId="0" fillId="0" borderId="0" xfId="0" applyFont="1"/>
    <xf numFmtId="165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6"/>
    <cellStyle name="Обычный 3" xfId="1"/>
    <cellStyle name="Обычный 3 2" xfId="5"/>
    <cellStyle name="Обычный 4" xfId="7"/>
    <cellStyle name="Обычный 5" xfId="4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317"/>
  <sheetViews>
    <sheetView tabSelected="1" view="pageBreakPreview" zoomScale="75" zoomScaleNormal="100" zoomScaleSheetLayoutView="75" workbookViewId="0">
      <pane xSplit="5" ySplit="10" topLeftCell="F11" activePane="bottomRight" state="frozenSplit"/>
      <selection pane="topRight" activeCell="N1" sqref="N1"/>
      <selection pane="bottomLeft" activeCell="A12" sqref="A12"/>
      <selection pane="bottomRight" sqref="A1:L5"/>
    </sheetView>
  </sheetViews>
  <sheetFormatPr defaultRowHeight="15" x14ac:dyDescent="0.25"/>
  <cols>
    <col min="1" max="1" width="6.140625" customWidth="1"/>
    <col min="2" max="2" width="6.28515625" customWidth="1"/>
    <col min="3" max="3" width="4.28515625" customWidth="1"/>
    <col min="4" max="4" width="44.5703125" customWidth="1"/>
    <col min="5" max="5" width="10.85546875" customWidth="1"/>
    <col min="6" max="6" width="11.140625" customWidth="1"/>
    <col min="7" max="8" width="11" customWidth="1"/>
    <col min="9" max="9" width="9.7109375" customWidth="1"/>
    <col min="10" max="11" width="10.140625" customWidth="1"/>
    <col min="12" max="12" width="9.140625" customWidth="1"/>
    <col min="13" max="13" width="10.85546875" customWidth="1"/>
    <col min="14" max="21" width="9.140625" customWidth="1"/>
    <col min="22" max="22" width="10" customWidth="1"/>
    <col min="23" max="28" width="9.140625" customWidth="1"/>
    <col min="29" max="29" width="9.42578125" customWidth="1"/>
    <col min="30" max="54" width="9.140625" customWidth="1"/>
    <col min="55" max="55" width="9.7109375" customWidth="1"/>
    <col min="56" max="63" width="9.140625" customWidth="1"/>
    <col min="64" max="64" width="10.140625" customWidth="1"/>
    <col min="65" max="68" width="9.140625" customWidth="1"/>
    <col min="69" max="69" width="10.140625" customWidth="1"/>
    <col min="70" max="102" width="9.140625" customWidth="1"/>
    <col min="103" max="103" width="8.7109375" customWidth="1"/>
    <col min="105" max="105" width="8.5703125" bestFit="1" customWidth="1"/>
    <col min="106" max="106" width="6.42578125" bestFit="1" customWidth="1"/>
    <col min="107" max="107" width="35.5703125" style="63" customWidth="1"/>
  </cols>
  <sheetData>
    <row r="1" spans="1:220" ht="8.25" customHeight="1" x14ac:dyDescent="0.25">
      <c r="G1" s="65"/>
      <c r="H1" s="65"/>
      <c r="I1" s="65"/>
      <c r="J1" s="65"/>
      <c r="K1" s="65"/>
      <c r="L1" s="65"/>
      <c r="M1" s="65"/>
    </row>
    <row r="2" spans="1:220" s="53" customFormat="1" ht="18.75" x14ac:dyDescent="0.25">
      <c r="A2" s="50"/>
      <c r="B2" s="50"/>
      <c r="C2" s="50"/>
      <c r="D2" s="51"/>
      <c r="E2" s="52"/>
      <c r="F2" s="54"/>
      <c r="H2" s="54"/>
      <c r="I2" s="54"/>
      <c r="L2" s="64" t="s">
        <v>624</v>
      </c>
      <c r="O2" s="52"/>
      <c r="P2" s="52"/>
      <c r="Q2" s="52"/>
      <c r="R2" s="52"/>
      <c r="S2" s="52"/>
      <c r="T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DC2" s="62"/>
    </row>
    <row r="3" spans="1:220" s="53" customFormat="1" ht="18.75" x14ac:dyDescent="0.25">
      <c r="A3" s="50"/>
      <c r="B3" s="50"/>
      <c r="C3" s="50"/>
      <c r="D3" s="51"/>
      <c r="E3" s="52"/>
      <c r="F3" s="54"/>
      <c r="H3" s="54"/>
      <c r="I3" s="54"/>
      <c r="L3" s="64" t="s">
        <v>583</v>
      </c>
      <c r="O3" s="52"/>
      <c r="P3" s="52"/>
      <c r="Q3" s="52"/>
      <c r="R3" s="52"/>
      <c r="S3" s="52"/>
      <c r="T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DC3" s="62"/>
    </row>
    <row r="4" spans="1:220" s="53" customFormat="1" ht="18.75" x14ac:dyDescent="0.25">
      <c r="A4" s="50"/>
      <c r="B4" s="50"/>
      <c r="C4" s="50"/>
      <c r="D4" s="51"/>
      <c r="E4" s="52"/>
      <c r="F4" s="54"/>
      <c r="H4" s="54"/>
      <c r="I4" s="54"/>
      <c r="L4" s="64" t="s">
        <v>584</v>
      </c>
      <c r="O4" s="52"/>
      <c r="P4" s="52"/>
      <c r="Q4" s="52"/>
      <c r="R4" s="52"/>
      <c r="S4" s="52"/>
      <c r="T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DC4" s="62"/>
    </row>
    <row r="5" spans="1:220" s="53" customFormat="1" ht="15.75" x14ac:dyDescent="0.25">
      <c r="A5" s="50"/>
      <c r="B5" s="50"/>
      <c r="C5" s="50"/>
      <c r="D5" s="51"/>
      <c r="E5" s="52"/>
      <c r="F5" s="52"/>
      <c r="H5" s="54"/>
      <c r="I5" s="54"/>
      <c r="M5" s="52"/>
      <c r="N5" s="54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DC5" s="62"/>
    </row>
    <row r="6" spans="1:220" s="53" customFormat="1" ht="15.75" x14ac:dyDescent="0.25">
      <c r="A6" s="55"/>
      <c r="B6" s="55"/>
      <c r="C6" s="55"/>
      <c r="D6" s="51"/>
      <c r="E6" s="56" t="s">
        <v>585</v>
      </c>
      <c r="F6" s="56"/>
      <c r="G6" s="56"/>
      <c r="H6" s="56"/>
      <c r="I6" s="56"/>
      <c r="J6" s="56"/>
      <c r="K6" s="56"/>
      <c r="L6" s="56"/>
      <c r="DC6" s="62"/>
    </row>
    <row r="7" spans="1:220" s="49" customFormat="1" ht="16.5" thickBot="1" x14ac:dyDescent="0.3">
      <c r="A7" s="57"/>
      <c r="B7" s="57"/>
      <c r="C7" s="57"/>
      <c r="F7" s="58"/>
      <c r="G7" s="58"/>
      <c r="L7" s="59" t="s">
        <v>586</v>
      </c>
      <c r="DA7" s="53"/>
      <c r="DB7" s="53"/>
      <c r="DC7" s="62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</row>
    <row r="8" spans="1:220" s="49" customFormat="1" ht="53.25" customHeight="1" x14ac:dyDescent="0.25">
      <c r="A8" s="68" t="s">
        <v>17</v>
      </c>
      <c r="B8" s="69"/>
      <c r="C8" s="69" t="s">
        <v>65</v>
      </c>
      <c r="D8" s="72" t="s">
        <v>0</v>
      </c>
      <c r="E8" s="75" t="s">
        <v>18</v>
      </c>
      <c r="F8" s="66" t="s">
        <v>2</v>
      </c>
      <c r="G8" s="66" t="s">
        <v>3</v>
      </c>
      <c r="H8" s="66" t="s">
        <v>4</v>
      </c>
      <c r="I8" s="66" t="s">
        <v>627</v>
      </c>
      <c r="J8" s="66" t="s">
        <v>626</v>
      </c>
      <c r="K8" s="66" t="s">
        <v>19</v>
      </c>
      <c r="L8" s="66" t="s">
        <v>20</v>
      </c>
      <c r="M8" s="66" t="s">
        <v>5</v>
      </c>
      <c r="N8" s="66" t="s">
        <v>6</v>
      </c>
      <c r="O8" s="66" t="s">
        <v>21</v>
      </c>
      <c r="P8" s="66" t="s">
        <v>629</v>
      </c>
      <c r="Q8" s="66" t="s">
        <v>628</v>
      </c>
      <c r="R8" s="66" t="s">
        <v>22</v>
      </c>
      <c r="S8" s="66" t="s">
        <v>23</v>
      </c>
      <c r="T8" s="66" t="s">
        <v>24</v>
      </c>
      <c r="U8" s="66" t="s">
        <v>7</v>
      </c>
      <c r="V8" s="66" t="s">
        <v>25</v>
      </c>
      <c r="W8" s="66" t="s">
        <v>26</v>
      </c>
      <c r="X8" s="66" t="s">
        <v>8</v>
      </c>
      <c r="Y8" s="66" t="s">
        <v>27</v>
      </c>
      <c r="Z8" s="66" t="s">
        <v>28</v>
      </c>
      <c r="AA8" s="66" t="s">
        <v>9</v>
      </c>
      <c r="AB8" s="66" t="s">
        <v>10</v>
      </c>
      <c r="AC8" s="66" t="s">
        <v>29</v>
      </c>
      <c r="AD8" s="66" t="s">
        <v>11</v>
      </c>
      <c r="AE8" s="66" t="s">
        <v>630</v>
      </c>
      <c r="AF8" s="66" t="s">
        <v>30</v>
      </c>
      <c r="AG8" s="66" t="s">
        <v>631</v>
      </c>
      <c r="AH8" s="66" t="s">
        <v>638</v>
      </c>
      <c r="AI8" s="66" t="s">
        <v>31</v>
      </c>
      <c r="AJ8" s="66" t="s">
        <v>32</v>
      </c>
      <c r="AK8" s="66" t="s">
        <v>33</v>
      </c>
      <c r="AL8" s="66" t="s">
        <v>12</v>
      </c>
      <c r="AM8" s="66" t="s">
        <v>34</v>
      </c>
      <c r="AN8" s="66" t="s">
        <v>609</v>
      </c>
      <c r="AO8" s="66" t="s">
        <v>35</v>
      </c>
      <c r="AP8" s="66" t="s">
        <v>36</v>
      </c>
      <c r="AQ8" s="66" t="s">
        <v>37</v>
      </c>
      <c r="AR8" s="66" t="s">
        <v>606</v>
      </c>
      <c r="AS8" s="66" t="s">
        <v>38</v>
      </c>
      <c r="AT8" s="66" t="s">
        <v>39</v>
      </c>
      <c r="AU8" s="66" t="s">
        <v>40</v>
      </c>
      <c r="AV8" s="66" t="s">
        <v>41</v>
      </c>
      <c r="AW8" s="66" t="s">
        <v>42</v>
      </c>
      <c r="AX8" s="66" t="s">
        <v>587</v>
      </c>
      <c r="AY8" s="66" t="s">
        <v>43</v>
      </c>
      <c r="AZ8" s="66" t="s">
        <v>588</v>
      </c>
      <c r="BA8" s="66" t="s">
        <v>610</v>
      </c>
      <c r="BB8" s="66" t="s">
        <v>44</v>
      </c>
      <c r="BC8" s="66" t="s">
        <v>611</v>
      </c>
      <c r="BD8" s="66" t="s">
        <v>45</v>
      </c>
      <c r="BE8" s="66" t="s">
        <v>13</v>
      </c>
      <c r="BF8" s="66" t="s">
        <v>632</v>
      </c>
      <c r="BG8" s="66" t="s">
        <v>46</v>
      </c>
      <c r="BH8" s="66" t="s">
        <v>47</v>
      </c>
      <c r="BI8" s="66" t="s">
        <v>589</v>
      </c>
      <c r="BJ8" s="66" t="s">
        <v>48</v>
      </c>
      <c r="BK8" s="66" t="s">
        <v>612</v>
      </c>
      <c r="BL8" s="66" t="s">
        <v>590</v>
      </c>
      <c r="BM8" s="66" t="s">
        <v>633</v>
      </c>
      <c r="BN8" s="66" t="s">
        <v>49</v>
      </c>
      <c r="BO8" s="66" t="s">
        <v>50</v>
      </c>
      <c r="BP8" s="66" t="s">
        <v>625</v>
      </c>
      <c r="BQ8" s="66" t="s">
        <v>613</v>
      </c>
      <c r="BR8" s="66" t="s">
        <v>51</v>
      </c>
      <c r="BS8" s="66" t="s">
        <v>52</v>
      </c>
      <c r="BT8" s="66" t="s">
        <v>14</v>
      </c>
      <c r="BU8" s="66" t="s">
        <v>53</v>
      </c>
      <c r="BV8" s="66" t="s">
        <v>54</v>
      </c>
      <c r="BW8" s="66" t="s">
        <v>55</v>
      </c>
      <c r="BX8" s="66" t="s">
        <v>634</v>
      </c>
      <c r="BY8" s="66" t="s">
        <v>614</v>
      </c>
      <c r="BZ8" s="66" t="s">
        <v>615</v>
      </c>
      <c r="CA8" s="66" t="s">
        <v>16</v>
      </c>
      <c r="CB8" s="66" t="s">
        <v>635</v>
      </c>
      <c r="CC8" s="66" t="s">
        <v>591</v>
      </c>
      <c r="CD8" s="66" t="s">
        <v>616</v>
      </c>
      <c r="CE8" s="66" t="s">
        <v>56</v>
      </c>
      <c r="CF8" s="66" t="s">
        <v>57</v>
      </c>
      <c r="CG8" s="66" t="s">
        <v>58</v>
      </c>
      <c r="CH8" s="66" t="s">
        <v>636</v>
      </c>
      <c r="CI8" s="66" t="s">
        <v>637</v>
      </c>
      <c r="CJ8" s="66" t="s">
        <v>592</v>
      </c>
      <c r="CK8" s="66" t="s">
        <v>59</v>
      </c>
      <c r="CL8" s="66" t="s">
        <v>617</v>
      </c>
      <c r="CM8" s="66" t="s">
        <v>593</v>
      </c>
      <c r="CN8" s="66" t="s">
        <v>594</v>
      </c>
      <c r="CO8" s="66" t="s">
        <v>595</v>
      </c>
      <c r="CP8" s="66" t="s">
        <v>596</v>
      </c>
      <c r="CQ8" s="66" t="s">
        <v>597</v>
      </c>
      <c r="CR8" s="66" t="s">
        <v>618</v>
      </c>
      <c r="CS8" s="66" t="s">
        <v>598</v>
      </c>
      <c r="CT8" s="66" t="s">
        <v>619</v>
      </c>
      <c r="CU8" s="66" t="s">
        <v>620</v>
      </c>
      <c r="CV8" s="66" t="s">
        <v>60</v>
      </c>
      <c r="CW8" s="66" t="s">
        <v>61</v>
      </c>
      <c r="CX8" s="78" t="s">
        <v>62</v>
      </c>
    </row>
    <row r="9" spans="1:220" s="49" customFormat="1" ht="39.75" customHeight="1" x14ac:dyDescent="0.25">
      <c r="A9" s="80" t="s">
        <v>63</v>
      </c>
      <c r="B9" s="70" t="s">
        <v>64</v>
      </c>
      <c r="C9" s="70"/>
      <c r="D9" s="73"/>
      <c r="E9" s="7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79"/>
    </row>
    <row r="10" spans="1:220" s="49" customFormat="1" ht="15.75" customHeight="1" thickBot="1" x14ac:dyDescent="0.3">
      <c r="A10" s="81"/>
      <c r="B10" s="71"/>
      <c r="C10" s="71"/>
      <c r="D10" s="74"/>
      <c r="E10" s="77"/>
      <c r="F10" s="47" t="s">
        <v>489</v>
      </c>
      <c r="G10" s="47" t="s">
        <v>490</v>
      </c>
      <c r="H10" s="47" t="s">
        <v>491</v>
      </c>
      <c r="I10" s="47" t="s">
        <v>492</v>
      </c>
      <c r="J10" s="47" t="s">
        <v>493</v>
      </c>
      <c r="K10" s="47" t="s">
        <v>494</v>
      </c>
      <c r="L10" s="47" t="s">
        <v>495</v>
      </c>
      <c r="M10" s="47" t="s">
        <v>496</v>
      </c>
      <c r="N10" s="47" t="s">
        <v>497</v>
      </c>
      <c r="O10" s="47" t="s">
        <v>498</v>
      </c>
      <c r="P10" s="47" t="s">
        <v>499</v>
      </c>
      <c r="Q10" s="47" t="s">
        <v>500</v>
      </c>
      <c r="R10" s="47" t="s">
        <v>501</v>
      </c>
      <c r="S10" s="47" t="s">
        <v>502</v>
      </c>
      <c r="T10" s="47" t="s">
        <v>503</v>
      </c>
      <c r="U10" s="47" t="s">
        <v>504</v>
      </c>
      <c r="V10" s="47" t="s">
        <v>505</v>
      </c>
      <c r="W10" s="47" t="s">
        <v>506</v>
      </c>
      <c r="X10" s="47" t="s">
        <v>507</v>
      </c>
      <c r="Y10" s="47" t="s">
        <v>508</v>
      </c>
      <c r="Z10" s="47" t="s">
        <v>509</v>
      </c>
      <c r="AA10" s="47" t="s">
        <v>510</v>
      </c>
      <c r="AB10" s="47" t="s">
        <v>511</v>
      </c>
      <c r="AC10" s="47" t="s">
        <v>512</v>
      </c>
      <c r="AD10" s="47" t="s">
        <v>513</v>
      </c>
      <c r="AE10" s="47">
        <v>110900</v>
      </c>
      <c r="AF10" s="47" t="s">
        <v>514</v>
      </c>
      <c r="AG10" s="47" t="s">
        <v>515</v>
      </c>
      <c r="AH10" s="47" t="s">
        <v>516</v>
      </c>
      <c r="AI10" s="47" t="s">
        <v>517</v>
      </c>
      <c r="AJ10" s="47" t="s">
        <v>518</v>
      </c>
      <c r="AK10" s="47" t="s">
        <v>519</v>
      </c>
      <c r="AL10" s="47" t="s">
        <v>520</v>
      </c>
      <c r="AM10" s="47" t="s">
        <v>521</v>
      </c>
      <c r="AN10" s="47" t="s">
        <v>522</v>
      </c>
      <c r="AO10" s="47" t="s">
        <v>523</v>
      </c>
      <c r="AP10" s="47" t="s">
        <v>524</v>
      </c>
      <c r="AQ10" s="47" t="s">
        <v>525</v>
      </c>
      <c r="AR10" s="47" t="s">
        <v>605</v>
      </c>
      <c r="AS10" s="47" t="s">
        <v>526</v>
      </c>
      <c r="AT10" s="47" t="s">
        <v>527</v>
      </c>
      <c r="AU10" s="47" t="s">
        <v>528</v>
      </c>
      <c r="AV10" s="47" t="s">
        <v>529</v>
      </c>
      <c r="AW10" s="47" t="s">
        <v>530</v>
      </c>
      <c r="AX10" s="47" t="s">
        <v>531</v>
      </c>
      <c r="AY10" s="47" t="s">
        <v>532</v>
      </c>
      <c r="AZ10" s="47" t="s">
        <v>533</v>
      </c>
      <c r="BA10" s="47" t="s">
        <v>534</v>
      </c>
      <c r="BB10" s="47" t="s">
        <v>535</v>
      </c>
      <c r="BC10" s="47" t="s">
        <v>536</v>
      </c>
      <c r="BD10" s="47" t="s">
        <v>537</v>
      </c>
      <c r="BE10" s="47" t="s">
        <v>538</v>
      </c>
      <c r="BF10" s="47" t="s">
        <v>539</v>
      </c>
      <c r="BG10" s="47" t="s">
        <v>540</v>
      </c>
      <c r="BH10" s="47" t="s">
        <v>541</v>
      </c>
      <c r="BI10" s="47" t="s">
        <v>542</v>
      </c>
      <c r="BJ10" s="47" t="s">
        <v>543</v>
      </c>
      <c r="BK10" s="47" t="s">
        <v>544</v>
      </c>
      <c r="BL10" s="47" t="s">
        <v>545</v>
      </c>
      <c r="BM10" s="47" t="s">
        <v>546</v>
      </c>
      <c r="BN10" s="47" t="s">
        <v>547</v>
      </c>
      <c r="BO10" s="47" t="s">
        <v>548</v>
      </c>
      <c r="BP10" s="47" t="s">
        <v>601</v>
      </c>
      <c r="BQ10" s="47" t="s">
        <v>549</v>
      </c>
      <c r="BR10" s="47" t="s">
        <v>550</v>
      </c>
      <c r="BS10" s="47" t="s">
        <v>551</v>
      </c>
      <c r="BT10" s="47" t="s">
        <v>552</v>
      </c>
      <c r="BU10" s="47" t="s">
        <v>553</v>
      </c>
      <c r="BV10" s="47" t="s">
        <v>554</v>
      </c>
      <c r="BW10" s="47" t="s">
        <v>555</v>
      </c>
      <c r="BX10" s="47" t="s">
        <v>556</v>
      </c>
      <c r="BY10" s="47" t="s">
        <v>557</v>
      </c>
      <c r="BZ10" s="47" t="s">
        <v>558</v>
      </c>
      <c r="CA10" s="47" t="s">
        <v>559</v>
      </c>
      <c r="CB10" s="47" t="s">
        <v>560</v>
      </c>
      <c r="CC10" s="47" t="s">
        <v>561</v>
      </c>
      <c r="CD10" s="47" t="s">
        <v>562</v>
      </c>
      <c r="CE10" s="47" t="s">
        <v>563</v>
      </c>
      <c r="CF10" s="47" t="s">
        <v>564</v>
      </c>
      <c r="CG10" s="47" t="s">
        <v>565</v>
      </c>
      <c r="CH10" s="47" t="s">
        <v>566</v>
      </c>
      <c r="CI10" s="47" t="s">
        <v>567</v>
      </c>
      <c r="CJ10" s="47" t="s">
        <v>568</v>
      </c>
      <c r="CK10" s="47" t="s">
        <v>569</v>
      </c>
      <c r="CL10" s="47" t="s">
        <v>570</v>
      </c>
      <c r="CM10" s="47" t="s">
        <v>571</v>
      </c>
      <c r="CN10" s="47" t="s">
        <v>572</v>
      </c>
      <c r="CO10" s="47" t="s">
        <v>573</v>
      </c>
      <c r="CP10" s="47" t="s">
        <v>574</v>
      </c>
      <c r="CQ10" s="47" t="s">
        <v>575</v>
      </c>
      <c r="CR10" s="47" t="s">
        <v>576</v>
      </c>
      <c r="CS10" s="47" t="s">
        <v>577</v>
      </c>
      <c r="CT10" s="47" t="s">
        <v>578</v>
      </c>
      <c r="CU10" s="47" t="s">
        <v>579</v>
      </c>
      <c r="CV10" s="47" t="s">
        <v>580</v>
      </c>
      <c r="CW10" s="47" t="s">
        <v>581</v>
      </c>
      <c r="CX10" s="48" t="s">
        <v>582</v>
      </c>
    </row>
    <row r="11" spans="1:220" ht="31.5" x14ac:dyDescent="0.25">
      <c r="A11" s="1" t="s">
        <v>66</v>
      </c>
      <c r="B11" s="2" t="s">
        <v>1</v>
      </c>
      <c r="C11" s="2" t="s">
        <v>1</v>
      </c>
      <c r="D11" s="3" t="s">
        <v>67</v>
      </c>
      <c r="E11" s="4">
        <f t="shared" ref="E11:BT11" si="0">SUM(E12+E14+E18+E36+E38+E44+E47)</f>
        <v>220143620</v>
      </c>
      <c r="F11" s="5">
        <f t="shared" si="0"/>
        <v>212100558</v>
      </c>
      <c r="G11" s="5">
        <f t="shared" si="0"/>
        <v>207023990</v>
      </c>
      <c r="H11" s="5">
        <f t="shared" si="0"/>
        <v>136300910</v>
      </c>
      <c r="I11" s="5">
        <f t="shared" si="0"/>
        <v>29141482</v>
      </c>
      <c r="J11" s="5">
        <f t="shared" si="0"/>
        <v>11625093</v>
      </c>
      <c r="K11" s="5">
        <f t="shared" si="0"/>
        <v>450</v>
      </c>
      <c r="L11" s="5">
        <f t="shared" si="0"/>
        <v>1355306</v>
      </c>
      <c r="M11" s="5">
        <f t="shared" si="0"/>
        <v>0</v>
      </c>
      <c r="N11" s="5">
        <f t="shared" si="0"/>
        <v>0</v>
      </c>
      <c r="O11" s="5">
        <f t="shared" si="0"/>
        <v>6471801</v>
      </c>
      <c r="P11" s="5">
        <f t="shared" si="0"/>
        <v>3797536</v>
      </c>
      <c r="Q11" s="5">
        <f t="shared" si="0"/>
        <v>3559272</v>
      </c>
      <c r="R11" s="5">
        <f t="shared" si="0"/>
        <v>4496</v>
      </c>
      <c r="S11" s="5">
        <f t="shared" si="0"/>
        <v>3554776</v>
      </c>
      <c r="T11" s="5">
        <f t="shared" si="0"/>
        <v>0</v>
      </c>
      <c r="U11" s="5">
        <f t="shared" si="0"/>
        <v>5853792</v>
      </c>
      <c r="V11" s="5">
        <f t="shared" si="0"/>
        <v>5205537</v>
      </c>
      <c r="W11" s="5">
        <f t="shared" si="0"/>
        <v>514227</v>
      </c>
      <c r="X11" s="5">
        <f t="shared" si="0"/>
        <v>1457727</v>
      </c>
      <c r="Y11" s="5">
        <f t="shared" si="0"/>
        <v>1387695</v>
      </c>
      <c r="Z11" s="5">
        <f t="shared" si="0"/>
        <v>253738</v>
      </c>
      <c r="AA11" s="5">
        <f t="shared" si="0"/>
        <v>142522</v>
      </c>
      <c r="AB11" s="5">
        <f t="shared" si="0"/>
        <v>1318351</v>
      </c>
      <c r="AC11" s="5">
        <f t="shared" si="0"/>
        <v>0</v>
      </c>
      <c r="AD11" s="5">
        <f t="shared" si="0"/>
        <v>131277</v>
      </c>
      <c r="AE11" s="5">
        <f t="shared" si="0"/>
        <v>0</v>
      </c>
      <c r="AF11" s="5">
        <f t="shared" si="0"/>
        <v>15337904</v>
      </c>
      <c r="AG11" s="5">
        <f t="shared" si="0"/>
        <v>0</v>
      </c>
      <c r="AH11" s="5">
        <f t="shared" si="0"/>
        <v>0</v>
      </c>
      <c r="AI11" s="5">
        <f t="shared" si="0"/>
        <v>427374</v>
      </c>
      <c r="AJ11" s="5">
        <f t="shared" si="0"/>
        <v>1652470</v>
      </c>
      <c r="AK11" s="5">
        <f t="shared" si="0"/>
        <v>1591</v>
      </c>
      <c r="AL11" s="5">
        <f t="shared" si="0"/>
        <v>130847</v>
      </c>
      <c r="AM11" s="5">
        <f t="shared" si="0"/>
        <v>1134930</v>
      </c>
      <c r="AN11" s="5">
        <f t="shared" si="0"/>
        <v>152493</v>
      </c>
      <c r="AO11" s="5">
        <f t="shared" si="0"/>
        <v>691518</v>
      </c>
      <c r="AP11" s="5">
        <f t="shared" si="0"/>
        <v>4362176</v>
      </c>
      <c r="AQ11" s="5">
        <f t="shared" si="0"/>
        <v>7408</v>
      </c>
      <c r="AR11" s="5">
        <f t="shared" ref="AR11" si="1">SUM(AR12+AR14+AR18+AR36+AR38+AR44+AR47)</f>
        <v>0</v>
      </c>
      <c r="AS11" s="5">
        <f t="shared" si="0"/>
        <v>0</v>
      </c>
      <c r="AT11" s="5">
        <f t="shared" si="0"/>
        <v>413096</v>
      </c>
      <c r="AU11" s="5">
        <f t="shared" si="0"/>
        <v>91032</v>
      </c>
      <c r="AV11" s="5"/>
      <c r="AW11" s="5"/>
      <c r="AX11" s="5">
        <f t="shared" si="0"/>
        <v>0</v>
      </c>
      <c r="AY11" s="5">
        <f t="shared" si="0"/>
        <v>1366988</v>
      </c>
      <c r="AZ11" s="5">
        <f t="shared" si="0"/>
        <v>0</v>
      </c>
      <c r="BA11" s="5">
        <f t="shared" si="0"/>
        <v>620226</v>
      </c>
      <c r="BB11" s="5">
        <f t="shared" si="0"/>
        <v>4285755</v>
      </c>
      <c r="BC11" s="5">
        <f t="shared" si="0"/>
        <v>5076568</v>
      </c>
      <c r="BD11" s="5">
        <f t="shared" si="0"/>
        <v>0</v>
      </c>
      <c r="BE11" s="5">
        <f t="shared" si="0"/>
        <v>0</v>
      </c>
      <c r="BF11" s="5">
        <f t="shared" si="0"/>
        <v>0</v>
      </c>
      <c r="BG11" s="5">
        <f t="shared" si="0"/>
        <v>0</v>
      </c>
      <c r="BH11" s="5">
        <f t="shared" si="0"/>
        <v>0</v>
      </c>
      <c r="BI11" s="5">
        <f t="shared" si="0"/>
        <v>0</v>
      </c>
      <c r="BJ11" s="5">
        <f t="shared" si="0"/>
        <v>0</v>
      </c>
      <c r="BK11" s="5">
        <f t="shared" si="0"/>
        <v>0</v>
      </c>
      <c r="BL11" s="5">
        <f t="shared" si="0"/>
        <v>0</v>
      </c>
      <c r="BM11" s="5">
        <f t="shared" si="0"/>
        <v>0</v>
      </c>
      <c r="BN11" s="5">
        <f t="shared" si="0"/>
        <v>0</v>
      </c>
      <c r="BO11" s="5">
        <f t="shared" si="0"/>
        <v>0</v>
      </c>
      <c r="BP11" s="5">
        <f t="shared" ref="BP11" si="2">SUM(BP12+BP14+BP18+BP36+BP38+BP44+BP47)</f>
        <v>0</v>
      </c>
      <c r="BQ11" s="5">
        <f t="shared" si="0"/>
        <v>5076568</v>
      </c>
      <c r="BR11" s="5">
        <f t="shared" si="0"/>
        <v>0</v>
      </c>
      <c r="BS11" s="5">
        <f t="shared" si="0"/>
        <v>0</v>
      </c>
      <c r="BT11" s="5">
        <f t="shared" si="0"/>
        <v>0</v>
      </c>
      <c r="BU11" s="5">
        <f t="shared" ref="BU11:CX11" si="3">SUM(BU12+BU14+BU18+BU36+BU38+BU44+BU47)</f>
        <v>0</v>
      </c>
      <c r="BV11" s="5">
        <f t="shared" si="3"/>
        <v>0</v>
      </c>
      <c r="BW11" s="5">
        <f t="shared" si="3"/>
        <v>0</v>
      </c>
      <c r="BX11" s="5">
        <f t="shared" si="3"/>
        <v>0</v>
      </c>
      <c r="BY11" s="5">
        <f t="shared" si="3"/>
        <v>0</v>
      </c>
      <c r="BZ11" s="5">
        <f t="shared" si="3"/>
        <v>0</v>
      </c>
      <c r="CA11" s="5">
        <f t="shared" si="3"/>
        <v>5076568</v>
      </c>
      <c r="CB11" s="5">
        <f t="shared" si="3"/>
        <v>0</v>
      </c>
      <c r="CC11" s="5">
        <f t="shared" si="3"/>
        <v>8043062</v>
      </c>
      <c r="CD11" s="5">
        <f t="shared" si="3"/>
        <v>8043062</v>
      </c>
      <c r="CE11" s="5">
        <f t="shared" si="3"/>
        <v>5356314</v>
      </c>
      <c r="CF11" s="5">
        <f t="shared" si="3"/>
        <v>0</v>
      </c>
      <c r="CG11" s="5">
        <f t="shared" si="3"/>
        <v>5356314</v>
      </c>
      <c r="CH11" s="5">
        <f t="shared" si="3"/>
        <v>2255729</v>
      </c>
      <c r="CI11" s="5">
        <f t="shared" si="3"/>
        <v>795729</v>
      </c>
      <c r="CJ11" s="5">
        <f t="shared" si="3"/>
        <v>0</v>
      </c>
      <c r="CK11" s="5">
        <f t="shared" si="3"/>
        <v>1460000</v>
      </c>
      <c r="CL11" s="5">
        <f t="shared" si="3"/>
        <v>0</v>
      </c>
      <c r="CM11" s="5">
        <f t="shared" si="3"/>
        <v>431019</v>
      </c>
      <c r="CN11" s="5">
        <f t="shared" si="3"/>
        <v>0</v>
      </c>
      <c r="CO11" s="5">
        <f t="shared" si="3"/>
        <v>431019</v>
      </c>
      <c r="CP11" s="5"/>
      <c r="CQ11" s="5">
        <f t="shared" si="3"/>
        <v>0</v>
      </c>
      <c r="CR11" s="5">
        <f t="shared" si="3"/>
        <v>0</v>
      </c>
      <c r="CS11" s="5">
        <f t="shared" si="3"/>
        <v>0</v>
      </c>
      <c r="CT11" s="5">
        <f t="shared" si="3"/>
        <v>0</v>
      </c>
      <c r="CU11" s="5">
        <f t="shared" si="3"/>
        <v>0</v>
      </c>
      <c r="CV11" s="5">
        <f t="shared" si="3"/>
        <v>0</v>
      </c>
      <c r="CW11" s="5">
        <f t="shared" si="3"/>
        <v>0</v>
      </c>
      <c r="CX11" s="6">
        <f t="shared" si="3"/>
        <v>0</v>
      </c>
    </row>
    <row r="12" spans="1:220" ht="31.5" x14ac:dyDescent="0.25">
      <c r="A12" s="7"/>
      <c r="B12" s="8" t="s">
        <v>68</v>
      </c>
      <c r="C12" s="8" t="s">
        <v>1</v>
      </c>
      <c r="D12" s="9" t="s">
        <v>69</v>
      </c>
      <c r="E12" s="10">
        <f>SUM(E13)</f>
        <v>26218266</v>
      </c>
      <c r="F12" s="11">
        <f t="shared" ref="F12:BW12" si="4">SUM(F13)</f>
        <v>25107155</v>
      </c>
      <c r="G12" s="11">
        <f t="shared" si="4"/>
        <v>25075333</v>
      </c>
      <c r="H12" s="11">
        <f t="shared" si="4"/>
        <v>10186224</v>
      </c>
      <c r="I12" s="11">
        <f t="shared" si="4"/>
        <v>2448394</v>
      </c>
      <c r="J12" s="11">
        <f t="shared" si="4"/>
        <v>2535997</v>
      </c>
      <c r="K12" s="11">
        <f t="shared" si="4"/>
        <v>0</v>
      </c>
      <c r="L12" s="11">
        <f t="shared" si="4"/>
        <v>19272</v>
      </c>
      <c r="M12" s="11">
        <f t="shared" si="4"/>
        <v>0</v>
      </c>
      <c r="N12" s="11">
        <f t="shared" si="4"/>
        <v>0</v>
      </c>
      <c r="O12" s="11">
        <f t="shared" si="4"/>
        <v>1844395</v>
      </c>
      <c r="P12" s="11">
        <f t="shared" si="4"/>
        <v>672330</v>
      </c>
      <c r="Q12" s="11">
        <f t="shared" si="4"/>
        <v>435133</v>
      </c>
      <c r="R12" s="11">
        <f t="shared" si="4"/>
        <v>856</v>
      </c>
      <c r="S12" s="11">
        <f t="shared" si="4"/>
        <v>434277</v>
      </c>
      <c r="T12" s="11">
        <f t="shared" si="4"/>
        <v>0</v>
      </c>
      <c r="U12" s="11">
        <f t="shared" si="4"/>
        <v>1000768</v>
      </c>
      <c r="V12" s="11">
        <f t="shared" si="4"/>
        <v>572967</v>
      </c>
      <c r="W12" s="11">
        <f t="shared" si="4"/>
        <v>114772</v>
      </c>
      <c r="X12" s="11">
        <f t="shared" si="4"/>
        <v>117308</v>
      </c>
      <c r="Y12" s="11">
        <f t="shared" si="4"/>
        <v>223942</v>
      </c>
      <c r="Z12" s="11">
        <f t="shared" si="4"/>
        <v>40699</v>
      </c>
      <c r="AA12" s="11">
        <f t="shared" si="4"/>
        <v>30451</v>
      </c>
      <c r="AB12" s="11">
        <f t="shared" si="4"/>
        <v>0</v>
      </c>
      <c r="AC12" s="11">
        <f t="shared" si="4"/>
        <v>0</v>
      </c>
      <c r="AD12" s="11">
        <f t="shared" si="4"/>
        <v>45795</v>
      </c>
      <c r="AE12" s="11">
        <f t="shared" si="4"/>
        <v>0</v>
      </c>
      <c r="AF12" s="11">
        <f t="shared" si="4"/>
        <v>7895850</v>
      </c>
      <c r="AG12" s="11">
        <f t="shared" si="4"/>
        <v>0</v>
      </c>
      <c r="AH12" s="11">
        <f t="shared" si="4"/>
        <v>0</v>
      </c>
      <c r="AI12" s="11">
        <f t="shared" si="4"/>
        <v>41883</v>
      </c>
      <c r="AJ12" s="11">
        <f t="shared" si="4"/>
        <v>270571</v>
      </c>
      <c r="AK12" s="11">
        <f t="shared" si="4"/>
        <v>0</v>
      </c>
      <c r="AL12" s="11">
        <f t="shared" si="4"/>
        <v>21455</v>
      </c>
      <c r="AM12" s="11">
        <f t="shared" si="4"/>
        <v>1000574</v>
      </c>
      <c r="AN12" s="11">
        <f t="shared" si="4"/>
        <v>77747</v>
      </c>
      <c r="AO12" s="11">
        <f t="shared" si="4"/>
        <v>172000</v>
      </c>
      <c r="AP12" s="11">
        <f t="shared" si="4"/>
        <v>2577670</v>
      </c>
      <c r="AQ12" s="11">
        <f t="shared" si="4"/>
        <v>7326</v>
      </c>
      <c r="AR12" s="11">
        <f t="shared" si="4"/>
        <v>0</v>
      </c>
      <c r="AS12" s="11">
        <f t="shared" si="4"/>
        <v>0</v>
      </c>
      <c r="AT12" s="11">
        <f t="shared" si="4"/>
        <v>0</v>
      </c>
      <c r="AU12" s="11">
        <f t="shared" si="4"/>
        <v>13574</v>
      </c>
      <c r="AV12" s="11"/>
      <c r="AW12" s="11"/>
      <c r="AX12" s="11">
        <f t="shared" si="4"/>
        <v>0</v>
      </c>
      <c r="AY12" s="11">
        <f t="shared" si="4"/>
        <v>0</v>
      </c>
      <c r="AZ12" s="11">
        <f t="shared" si="4"/>
        <v>0</v>
      </c>
      <c r="BA12" s="11">
        <f t="shared" si="4"/>
        <v>0</v>
      </c>
      <c r="BB12" s="11">
        <f t="shared" si="4"/>
        <v>3713050</v>
      </c>
      <c r="BC12" s="11">
        <f t="shared" si="4"/>
        <v>31822</v>
      </c>
      <c r="BD12" s="11">
        <f t="shared" si="4"/>
        <v>0</v>
      </c>
      <c r="BE12" s="11">
        <f t="shared" si="4"/>
        <v>0</v>
      </c>
      <c r="BF12" s="11">
        <f t="shared" si="4"/>
        <v>0</v>
      </c>
      <c r="BG12" s="11">
        <f t="shared" si="4"/>
        <v>0</v>
      </c>
      <c r="BH12" s="11">
        <f t="shared" si="4"/>
        <v>0</v>
      </c>
      <c r="BI12" s="11">
        <f t="shared" si="4"/>
        <v>0</v>
      </c>
      <c r="BJ12" s="11">
        <f t="shared" si="4"/>
        <v>0</v>
      </c>
      <c r="BK12" s="11">
        <f t="shared" si="4"/>
        <v>0</v>
      </c>
      <c r="BL12" s="11">
        <f t="shared" si="4"/>
        <v>0</v>
      </c>
      <c r="BM12" s="11">
        <f t="shared" si="4"/>
        <v>0</v>
      </c>
      <c r="BN12" s="11">
        <f t="shared" si="4"/>
        <v>0</v>
      </c>
      <c r="BO12" s="11">
        <f t="shared" si="4"/>
        <v>0</v>
      </c>
      <c r="BP12" s="11">
        <f t="shared" si="4"/>
        <v>0</v>
      </c>
      <c r="BQ12" s="11">
        <f t="shared" si="4"/>
        <v>31822</v>
      </c>
      <c r="BR12" s="11">
        <f t="shared" si="4"/>
        <v>0</v>
      </c>
      <c r="BS12" s="11">
        <f t="shared" si="4"/>
        <v>0</v>
      </c>
      <c r="BT12" s="11">
        <f t="shared" si="4"/>
        <v>0</v>
      </c>
      <c r="BU12" s="11">
        <f t="shared" si="4"/>
        <v>0</v>
      </c>
      <c r="BV12" s="11">
        <f t="shared" si="4"/>
        <v>0</v>
      </c>
      <c r="BW12" s="11">
        <f t="shared" si="4"/>
        <v>0</v>
      </c>
      <c r="BX12" s="11">
        <f t="shared" ref="BX12:CX12" si="5">SUM(BX13)</f>
        <v>0</v>
      </c>
      <c r="BY12" s="11">
        <f t="shared" si="5"/>
        <v>0</v>
      </c>
      <c r="BZ12" s="11">
        <f t="shared" si="5"/>
        <v>0</v>
      </c>
      <c r="CA12" s="11">
        <f t="shared" si="5"/>
        <v>31822</v>
      </c>
      <c r="CB12" s="11">
        <f t="shared" si="5"/>
        <v>0</v>
      </c>
      <c r="CC12" s="11">
        <f t="shared" si="5"/>
        <v>1111111</v>
      </c>
      <c r="CD12" s="11">
        <f t="shared" si="5"/>
        <v>1111111</v>
      </c>
      <c r="CE12" s="11">
        <f t="shared" si="5"/>
        <v>932170</v>
      </c>
      <c r="CF12" s="11">
        <f t="shared" si="5"/>
        <v>0</v>
      </c>
      <c r="CG12" s="11">
        <f t="shared" si="5"/>
        <v>932170</v>
      </c>
      <c r="CH12" s="11">
        <f t="shared" si="5"/>
        <v>0</v>
      </c>
      <c r="CI12" s="11">
        <f t="shared" si="5"/>
        <v>0</v>
      </c>
      <c r="CJ12" s="11">
        <f t="shared" si="5"/>
        <v>0</v>
      </c>
      <c r="CK12" s="11">
        <f t="shared" si="5"/>
        <v>0</v>
      </c>
      <c r="CL12" s="11">
        <f t="shared" si="5"/>
        <v>0</v>
      </c>
      <c r="CM12" s="11">
        <f t="shared" si="5"/>
        <v>178941</v>
      </c>
      <c r="CN12" s="11">
        <f t="shared" si="5"/>
        <v>0</v>
      </c>
      <c r="CO12" s="11">
        <f t="shared" si="5"/>
        <v>178941</v>
      </c>
      <c r="CP12" s="11"/>
      <c r="CQ12" s="11">
        <f t="shared" si="5"/>
        <v>0</v>
      </c>
      <c r="CR12" s="11">
        <f t="shared" si="5"/>
        <v>0</v>
      </c>
      <c r="CS12" s="11">
        <f t="shared" si="5"/>
        <v>0</v>
      </c>
      <c r="CT12" s="11">
        <f t="shared" si="5"/>
        <v>0</v>
      </c>
      <c r="CU12" s="11">
        <f t="shared" si="5"/>
        <v>0</v>
      </c>
      <c r="CV12" s="11">
        <f t="shared" si="5"/>
        <v>0</v>
      </c>
      <c r="CW12" s="11">
        <f t="shared" si="5"/>
        <v>0</v>
      </c>
      <c r="CX12" s="12">
        <f t="shared" si="5"/>
        <v>0</v>
      </c>
    </row>
    <row r="13" spans="1:220" ht="15.75" x14ac:dyDescent="0.25">
      <c r="A13" s="13" t="s">
        <v>1</v>
      </c>
      <c r="B13" s="14" t="s">
        <v>1</v>
      </c>
      <c r="C13" s="14" t="s">
        <v>70</v>
      </c>
      <c r="D13" s="15" t="s">
        <v>71</v>
      </c>
      <c r="E13" s="10">
        <f>SUM(F13+CC13+CU13)</f>
        <v>26218266</v>
      </c>
      <c r="F13" s="11">
        <f>SUM(G13+BC13)</f>
        <v>25107155</v>
      </c>
      <c r="G13" s="11">
        <f>SUM(H13+I13+J13+Q13+T13+U13+V13+AF13+AE13)</f>
        <v>25075333</v>
      </c>
      <c r="H13" s="11">
        <f>9670466+515758</f>
        <v>10186224</v>
      </c>
      <c r="I13" s="11">
        <f>2319454+128940</f>
        <v>2448394</v>
      </c>
      <c r="J13" s="11">
        <f>SUM(K13:P13)</f>
        <v>2535997</v>
      </c>
      <c r="K13" s="11">
        <v>0</v>
      </c>
      <c r="L13" s="11">
        <v>19272</v>
      </c>
      <c r="M13" s="11">
        <v>0</v>
      </c>
      <c r="N13" s="11">
        <v>0</v>
      </c>
      <c r="O13" s="11">
        <f>1876650-32255</f>
        <v>1844395</v>
      </c>
      <c r="P13" s="11">
        <v>672330</v>
      </c>
      <c r="Q13" s="11">
        <f t="shared" ref="Q13:Q77" si="6">SUM(R13:S13)</f>
        <v>435133</v>
      </c>
      <c r="R13" s="11">
        <v>856</v>
      </c>
      <c r="S13" s="11">
        <v>434277</v>
      </c>
      <c r="T13" s="11">
        <v>0</v>
      </c>
      <c r="U13" s="11">
        <v>1000768</v>
      </c>
      <c r="V13" s="11">
        <f>SUM(W13:AD13)</f>
        <v>572967</v>
      </c>
      <c r="W13" s="11">
        <v>114772</v>
      </c>
      <c r="X13" s="11">
        <f>90139+27169</f>
        <v>117308</v>
      </c>
      <c r="Y13" s="11">
        <v>223942</v>
      </c>
      <c r="Z13" s="11">
        <v>40699</v>
      </c>
      <c r="AA13" s="11">
        <v>30451</v>
      </c>
      <c r="AB13" s="11">
        <v>0</v>
      </c>
      <c r="AC13" s="11">
        <v>0</v>
      </c>
      <c r="AD13" s="11">
        <f>40709+5086</f>
        <v>45795</v>
      </c>
      <c r="AE13" s="11"/>
      <c r="AF13" s="11">
        <f>SUM(AG13:BB13)</f>
        <v>7895850</v>
      </c>
      <c r="AG13" s="11">
        <v>0</v>
      </c>
      <c r="AH13" s="11"/>
      <c r="AI13" s="11">
        <v>41883</v>
      </c>
      <c r="AJ13" s="11">
        <v>270571</v>
      </c>
      <c r="AK13" s="11">
        <v>0</v>
      </c>
      <c r="AL13" s="11">
        <v>21455</v>
      </c>
      <c r="AM13" s="11">
        <v>1000574</v>
      </c>
      <c r="AN13" s="11">
        <v>77747</v>
      </c>
      <c r="AO13" s="11">
        <v>172000</v>
      </c>
      <c r="AP13" s="11">
        <v>2577670</v>
      </c>
      <c r="AQ13" s="11">
        <v>7326</v>
      </c>
      <c r="AR13" s="11">
        <v>0</v>
      </c>
      <c r="AS13" s="11">
        <v>0</v>
      </c>
      <c r="AT13" s="11">
        <v>0</v>
      </c>
      <c r="AU13" s="11">
        <v>13574</v>
      </c>
      <c r="AV13" s="11"/>
      <c r="AW13" s="11"/>
      <c r="AX13" s="11">
        <v>0</v>
      </c>
      <c r="AY13" s="11">
        <v>0</v>
      </c>
      <c r="AZ13" s="11">
        <v>0</v>
      </c>
      <c r="BA13" s="11"/>
      <c r="BB13" s="11">
        <v>3713050</v>
      </c>
      <c r="BC13" s="11">
        <f>SUM(BD13+BH13+BL13+BN13+BQ13)</f>
        <v>31822</v>
      </c>
      <c r="BD13" s="11">
        <f>SUM(BE13:BG13)</f>
        <v>0</v>
      </c>
      <c r="BE13" s="11">
        <v>0</v>
      </c>
      <c r="BF13" s="11">
        <v>0</v>
      </c>
      <c r="BG13" s="11">
        <v>0</v>
      </c>
      <c r="BH13" s="11">
        <f t="shared" ref="BH13:BH77" si="7">SUM(BJ13:BK13)</f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f t="shared" ref="BN13:BN77" si="8">SUM(BO13)</f>
        <v>0</v>
      </c>
      <c r="BO13" s="11">
        <v>0</v>
      </c>
      <c r="BP13" s="11">
        <v>0</v>
      </c>
      <c r="BQ13" s="11">
        <f t="shared" ref="BQ13:BQ77" si="9">SUM(BR13:CB13)</f>
        <v>31822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31822</v>
      </c>
      <c r="CB13" s="11">
        <v>0</v>
      </c>
      <c r="CC13" s="11">
        <f>SUM(CD13+CT13)</f>
        <v>1111111</v>
      </c>
      <c r="CD13" s="11">
        <f>SUM(CE13+CH13+CM13)</f>
        <v>1111111</v>
      </c>
      <c r="CE13" s="11">
        <f t="shared" ref="CE13:CE77" si="10">SUM(CF13:CG13)</f>
        <v>932170</v>
      </c>
      <c r="CF13" s="11">
        <v>0</v>
      </c>
      <c r="CG13" s="11">
        <v>932170</v>
      </c>
      <c r="CH13" s="11">
        <f>SUM(CI13:CL13)</f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f>SUM(CN13:CQ13)</f>
        <v>178941</v>
      </c>
      <c r="CN13" s="11"/>
      <c r="CO13" s="11">
        <v>178941</v>
      </c>
      <c r="CP13" s="11"/>
      <c r="CQ13" s="11">
        <v>0</v>
      </c>
      <c r="CR13" s="11">
        <f>SUM(CS13)</f>
        <v>0</v>
      </c>
      <c r="CS13" s="11"/>
      <c r="CT13" s="11">
        <v>0</v>
      </c>
      <c r="CU13" s="11">
        <f t="shared" ref="CU13:CU77" si="11">SUM(CV13)</f>
        <v>0</v>
      </c>
      <c r="CV13" s="11">
        <f t="shared" ref="CV13:CV77" si="12">SUM(CW13:CX13)</f>
        <v>0</v>
      </c>
      <c r="CW13" s="11">
        <v>0</v>
      </c>
      <c r="CX13" s="12">
        <v>0</v>
      </c>
    </row>
    <row r="14" spans="1:220" ht="31.5" x14ac:dyDescent="0.25">
      <c r="A14" s="7"/>
      <c r="B14" s="8" t="s">
        <v>72</v>
      </c>
      <c r="C14" s="8" t="s">
        <v>1</v>
      </c>
      <c r="D14" s="9" t="s">
        <v>73</v>
      </c>
      <c r="E14" s="10">
        <f>SUM(E15:E17)</f>
        <v>40113944</v>
      </c>
      <c r="F14" s="11">
        <f t="shared" ref="F14:BW14" si="13">SUM(F15:F17)</f>
        <v>38322499</v>
      </c>
      <c r="G14" s="11">
        <f t="shared" si="13"/>
        <v>35925078</v>
      </c>
      <c r="H14" s="11">
        <f t="shared" si="13"/>
        <v>24359048</v>
      </c>
      <c r="I14" s="11">
        <f t="shared" si="13"/>
        <v>5898739</v>
      </c>
      <c r="J14" s="11">
        <f t="shared" si="13"/>
        <v>2245876</v>
      </c>
      <c r="K14" s="11">
        <f t="shared" si="13"/>
        <v>0</v>
      </c>
      <c r="L14" s="11">
        <f t="shared" si="13"/>
        <v>0</v>
      </c>
      <c r="M14" s="11">
        <f t="shared" si="13"/>
        <v>0</v>
      </c>
      <c r="N14" s="11">
        <f t="shared" si="13"/>
        <v>0</v>
      </c>
      <c r="O14" s="11">
        <f t="shared" si="13"/>
        <v>1448855</v>
      </c>
      <c r="P14" s="11">
        <f t="shared" si="13"/>
        <v>797021</v>
      </c>
      <c r="Q14" s="11">
        <f t="shared" si="13"/>
        <v>652350</v>
      </c>
      <c r="R14" s="11">
        <f t="shared" si="13"/>
        <v>0</v>
      </c>
      <c r="S14" s="11">
        <f t="shared" si="13"/>
        <v>652350</v>
      </c>
      <c r="T14" s="11">
        <f t="shared" si="13"/>
        <v>0</v>
      </c>
      <c r="U14" s="11">
        <f t="shared" si="13"/>
        <v>940589</v>
      </c>
      <c r="V14" s="11">
        <f t="shared" si="13"/>
        <v>130581</v>
      </c>
      <c r="W14" s="11">
        <f t="shared" si="13"/>
        <v>19087</v>
      </c>
      <c r="X14" s="11">
        <f t="shared" si="13"/>
        <v>29519</v>
      </c>
      <c r="Y14" s="11">
        <f t="shared" si="13"/>
        <v>47778</v>
      </c>
      <c r="Z14" s="11">
        <f t="shared" si="13"/>
        <v>12156</v>
      </c>
      <c r="AA14" s="11">
        <f t="shared" si="13"/>
        <v>6748</v>
      </c>
      <c r="AB14" s="11">
        <f t="shared" si="13"/>
        <v>648</v>
      </c>
      <c r="AC14" s="11">
        <f t="shared" si="13"/>
        <v>0</v>
      </c>
      <c r="AD14" s="11">
        <f t="shared" si="13"/>
        <v>14645</v>
      </c>
      <c r="AE14" s="11">
        <f t="shared" si="13"/>
        <v>0</v>
      </c>
      <c r="AF14" s="11">
        <f t="shared" si="13"/>
        <v>1697895</v>
      </c>
      <c r="AG14" s="11">
        <f t="shared" si="13"/>
        <v>0</v>
      </c>
      <c r="AH14" s="11">
        <f t="shared" si="13"/>
        <v>0</v>
      </c>
      <c r="AI14" s="11">
        <f t="shared" si="13"/>
        <v>91196</v>
      </c>
      <c r="AJ14" s="11">
        <f t="shared" si="13"/>
        <v>164085</v>
      </c>
      <c r="AK14" s="11">
        <f t="shared" si="13"/>
        <v>0</v>
      </c>
      <c r="AL14" s="11">
        <f t="shared" si="13"/>
        <v>23197</v>
      </c>
      <c r="AM14" s="11">
        <f t="shared" si="13"/>
        <v>13570</v>
      </c>
      <c r="AN14" s="11">
        <f t="shared" si="13"/>
        <v>1432</v>
      </c>
      <c r="AO14" s="11">
        <f t="shared" si="13"/>
        <v>64740</v>
      </c>
      <c r="AP14" s="11">
        <f t="shared" si="13"/>
        <v>1098293</v>
      </c>
      <c r="AQ14" s="11">
        <f t="shared" si="13"/>
        <v>0</v>
      </c>
      <c r="AR14" s="11">
        <f t="shared" ref="AR14" si="14">SUM(AR15:AR17)</f>
        <v>0</v>
      </c>
      <c r="AS14" s="11">
        <f t="shared" si="13"/>
        <v>0</v>
      </c>
      <c r="AT14" s="11">
        <f t="shared" si="13"/>
        <v>59772</v>
      </c>
      <c r="AU14" s="11">
        <f t="shared" si="13"/>
        <v>28822</v>
      </c>
      <c r="AV14" s="11"/>
      <c r="AW14" s="11"/>
      <c r="AX14" s="11">
        <f t="shared" si="13"/>
        <v>0</v>
      </c>
      <c r="AY14" s="11">
        <f t="shared" si="13"/>
        <v>0</v>
      </c>
      <c r="AZ14" s="11">
        <f t="shared" si="13"/>
        <v>0</v>
      </c>
      <c r="BA14" s="11">
        <f t="shared" si="13"/>
        <v>84912</v>
      </c>
      <c r="BB14" s="11">
        <f t="shared" si="13"/>
        <v>67876</v>
      </c>
      <c r="BC14" s="11">
        <f t="shared" si="13"/>
        <v>2397421</v>
      </c>
      <c r="BD14" s="11">
        <f t="shared" si="13"/>
        <v>0</v>
      </c>
      <c r="BE14" s="11">
        <f t="shared" si="13"/>
        <v>0</v>
      </c>
      <c r="BF14" s="11">
        <f t="shared" si="13"/>
        <v>0</v>
      </c>
      <c r="BG14" s="11">
        <f t="shared" si="13"/>
        <v>0</v>
      </c>
      <c r="BH14" s="11">
        <f t="shared" si="13"/>
        <v>0</v>
      </c>
      <c r="BI14" s="11">
        <f t="shared" si="13"/>
        <v>0</v>
      </c>
      <c r="BJ14" s="11">
        <f t="shared" si="13"/>
        <v>0</v>
      </c>
      <c r="BK14" s="11">
        <f t="shared" si="13"/>
        <v>0</v>
      </c>
      <c r="BL14" s="11">
        <f t="shared" si="13"/>
        <v>0</v>
      </c>
      <c r="BM14" s="11">
        <f t="shared" si="13"/>
        <v>0</v>
      </c>
      <c r="BN14" s="11">
        <f t="shared" si="13"/>
        <v>0</v>
      </c>
      <c r="BO14" s="11">
        <f t="shared" si="13"/>
        <v>0</v>
      </c>
      <c r="BP14" s="11">
        <f t="shared" ref="BP14" si="15">SUM(BP15:BP17)</f>
        <v>0</v>
      </c>
      <c r="BQ14" s="11">
        <f t="shared" si="13"/>
        <v>2397421</v>
      </c>
      <c r="BR14" s="11">
        <f t="shared" si="13"/>
        <v>0</v>
      </c>
      <c r="BS14" s="11">
        <f t="shared" si="13"/>
        <v>0</v>
      </c>
      <c r="BT14" s="11">
        <f t="shared" si="13"/>
        <v>0</v>
      </c>
      <c r="BU14" s="11">
        <f t="shared" si="13"/>
        <v>0</v>
      </c>
      <c r="BV14" s="11">
        <f t="shared" si="13"/>
        <v>0</v>
      </c>
      <c r="BW14" s="11">
        <f t="shared" si="13"/>
        <v>0</v>
      </c>
      <c r="BX14" s="11">
        <f t="shared" ref="BX14:CX14" si="16">SUM(BX15:BX17)</f>
        <v>0</v>
      </c>
      <c r="BY14" s="11">
        <f t="shared" si="16"/>
        <v>0</v>
      </c>
      <c r="BZ14" s="11">
        <f t="shared" si="16"/>
        <v>0</v>
      </c>
      <c r="CA14" s="11">
        <f t="shared" si="16"/>
        <v>2397421</v>
      </c>
      <c r="CB14" s="11">
        <f t="shared" si="16"/>
        <v>0</v>
      </c>
      <c r="CC14" s="11">
        <f t="shared" si="16"/>
        <v>1791445</v>
      </c>
      <c r="CD14" s="11">
        <f t="shared" si="16"/>
        <v>1791445</v>
      </c>
      <c r="CE14" s="11">
        <f t="shared" si="16"/>
        <v>995716</v>
      </c>
      <c r="CF14" s="11">
        <f t="shared" si="16"/>
        <v>0</v>
      </c>
      <c r="CG14" s="11">
        <f t="shared" si="16"/>
        <v>995716</v>
      </c>
      <c r="CH14" s="11">
        <f t="shared" si="16"/>
        <v>795729</v>
      </c>
      <c r="CI14" s="11">
        <f t="shared" si="16"/>
        <v>795729</v>
      </c>
      <c r="CJ14" s="11">
        <f t="shared" si="16"/>
        <v>0</v>
      </c>
      <c r="CK14" s="11">
        <f t="shared" si="16"/>
        <v>0</v>
      </c>
      <c r="CL14" s="11">
        <f t="shared" si="16"/>
        <v>0</v>
      </c>
      <c r="CM14" s="11">
        <f t="shared" si="16"/>
        <v>0</v>
      </c>
      <c r="CN14" s="11">
        <f t="shared" si="16"/>
        <v>0</v>
      </c>
      <c r="CO14" s="11">
        <f t="shared" si="16"/>
        <v>0</v>
      </c>
      <c r="CP14" s="11"/>
      <c r="CQ14" s="11">
        <f t="shared" si="16"/>
        <v>0</v>
      </c>
      <c r="CR14" s="11">
        <f>SUM(CS14)</f>
        <v>0</v>
      </c>
      <c r="CS14" s="11"/>
      <c r="CT14" s="11">
        <f t="shared" si="16"/>
        <v>0</v>
      </c>
      <c r="CU14" s="11">
        <f t="shared" si="16"/>
        <v>0</v>
      </c>
      <c r="CV14" s="11">
        <f t="shared" si="16"/>
        <v>0</v>
      </c>
      <c r="CW14" s="11">
        <f t="shared" si="16"/>
        <v>0</v>
      </c>
      <c r="CX14" s="12">
        <f t="shared" si="16"/>
        <v>0</v>
      </c>
    </row>
    <row r="15" spans="1:220" ht="15.75" x14ac:dyDescent="0.25">
      <c r="A15" s="13" t="s">
        <v>1</v>
      </c>
      <c r="B15" s="14" t="s">
        <v>1</v>
      </c>
      <c r="C15" s="14" t="s">
        <v>74</v>
      </c>
      <c r="D15" s="15" t="s">
        <v>75</v>
      </c>
      <c r="E15" s="10">
        <f>SUM(F15+CC15+CU15)</f>
        <v>27909539</v>
      </c>
      <c r="F15" s="11">
        <f>SUM(G15+BC15)</f>
        <v>26561915</v>
      </c>
      <c r="G15" s="11">
        <f>SUM(H15+I15+J15+Q15+T15+U15+V15+AF15+AE15)</f>
        <v>24177520</v>
      </c>
      <c r="H15" s="16">
        <f>15473375+412623+76102</f>
        <v>15962100</v>
      </c>
      <c r="I15" s="16">
        <f>3736840+103156+19126</f>
        <v>3859122</v>
      </c>
      <c r="J15" s="11">
        <f>SUM(K15:P15)</f>
        <v>1630309</v>
      </c>
      <c r="K15" s="16"/>
      <c r="L15" s="16"/>
      <c r="M15" s="16"/>
      <c r="N15" s="16"/>
      <c r="O15" s="16">
        <v>1017451</v>
      </c>
      <c r="P15" s="16">
        <v>612858</v>
      </c>
      <c r="Q15" s="11">
        <f t="shared" si="6"/>
        <v>640000</v>
      </c>
      <c r="R15" s="16"/>
      <c r="S15" s="16">
        <v>640000</v>
      </c>
      <c r="T15" s="16"/>
      <c r="U15" s="16">
        <v>797759</v>
      </c>
      <c r="V15" s="11">
        <f>SUM(W15:AD15)</f>
        <v>15279</v>
      </c>
      <c r="W15" s="16">
        <v>1340</v>
      </c>
      <c r="X15" s="16">
        <f>0+1759+88+1759</f>
        <v>3606</v>
      </c>
      <c r="Y15" s="16">
        <f>1482+992+1260</f>
        <v>3734</v>
      </c>
      <c r="Z15" s="16">
        <f>1019+596+810</f>
        <v>2425</v>
      </c>
      <c r="AA15" s="16">
        <v>2294</v>
      </c>
      <c r="AB15" s="16"/>
      <c r="AC15" s="16"/>
      <c r="AD15" s="16">
        <f>0+10+1870</f>
        <v>1880</v>
      </c>
      <c r="AE15" s="16"/>
      <c r="AF15" s="11">
        <f>SUM(AG15:BB15)</f>
        <v>1272951</v>
      </c>
      <c r="AG15" s="16"/>
      <c r="AH15" s="16"/>
      <c r="AI15" s="16">
        <v>45304</v>
      </c>
      <c r="AJ15" s="16">
        <v>85349</v>
      </c>
      <c r="AK15" s="16"/>
      <c r="AL15" s="16">
        <v>7327</v>
      </c>
      <c r="AM15" s="16">
        <v>13570</v>
      </c>
      <c r="AN15" s="16">
        <v>1361</v>
      </c>
      <c r="AO15" s="16">
        <v>64740</v>
      </c>
      <c r="AP15" s="16">
        <v>1000000</v>
      </c>
      <c r="AQ15" s="16"/>
      <c r="AR15" s="16"/>
      <c r="AS15" s="16"/>
      <c r="AT15" s="16">
        <v>15373</v>
      </c>
      <c r="AU15" s="16">
        <v>17143</v>
      </c>
      <c r="AV15" s="16"/>
      <c r="AW15" s="16"/>
      <c r="AX15" s="16"/>
      <c r="AY15" s="16"/>
      <c r="AZ15" s="16"/>
      <c r="BA15" s="16"/>
      <c r="BB15" s="16">
        <v>22784</v>
      </c>
      <c r="BC15" s="11">
        <f>SUM(BD15+BH15+BL15+BN15+BQ15)</f>
        <v>2384395</v>
      </c>
      <c r="BD15" s="11">
        <f>SUM(BE15:BG15)</f>
        <v>0</v>
      </c>
      <c r="BE15" s="11">
        <v>0</v>
      </c>
      <c r="BF15" s="11">
        <v>0</v>
      </c>
      <c r="BG15" s="11">
        <v>0</v>
      </c>
      <c r="BH15" s="11">
        <f t="shared" si="7"/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f t="shared" si="8"/>
        <v>0</v>
      </c>
      <c r="BO15" s="11">
        <v>0</v>
      </c>
      <c r="BP15" s="11">
        <v>0</v>
      </c>
      <c r="BQ15" s="11">
        <f t="shared" si="9"/>
        <v>2384395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6">
        <f>2391692-1759-1598-3940</f>
        <v>2384395</v>
      </c>
      <c r="CB15" s="11">
        <v>0</v>
      </c>
      <c r="CC15" s="11">
        <f>SUM(CD15+CT15)</f>
        <v>1347624</v>
      </c>
      <c r="CD15" s="11">
        <f>SUM(CE15+CH15+CM15)</f>
        <v>1347624</v>
      </c>
      <c r="CE15" s="11">
        <f t="shared" si="10"/>
        <v>747624</v>
      </c>
      <c r="CF15" s="11">
        <v>0</v>
      </c>
      <c r="CG15" s="16">
        <v>747624</v>
      </c>
      <c r="CH15" s="11">
        <f>SUM(CI15:CL15)</f>
        <v>600000</v>
      </c>
      <c r="CI15" s="11">
        <v>600000</v>
      </c>
      <c r="CJ15" s="11">
        <v>0</v>
      </c>
      <c r="CK15" s="11">
        <v>0</v>
      </c>
      <c r="CL15" s="11">
        <v>0</v>
      </c>
      <c r="CM15" s="11">
        <f>SUM(CN15:CQ15)</f>
        <v>0</v>
      </c>
      <c r="CN15" s="11">
        <v>0</v>
      </c>
      <c r="CO15" s="11">
        <v>0</v>
      </c>
      <c r="CP15" s="11"/>
      <c r="CQ15" s="11">
        <v>0</v>
      </c>
      <c r="CR15" s="11">
        <f>SUM(CS15)</f>
        <v>0</v>
      </c>
      <c r="CS15" s="11">
        <v>0</v>
      </c>
      <c r="CT15" s="11">
        <v>0</v>
      </c>
      <c r="CU15" s="11">
        <f t="shared" si="11"/>
        <v>0</v>
      </c>
      <c r="CV15" s="11">
        <f t="shared" si="12"/>
        <v>0</v>
      </c>
      <c r="CW15" s="11">
        <v>0</v>
      </c>
      <c r="CX15" s="12">
        <v>0</v>
      </c>
    </row>
    <row r="16" spans="1:220" ht="15.75" customHeight="1" x14ac:dyDescent="0.25">
      <c r="A16" s="13" t="s">
        <v>1</v>
      </c>
      <c r="B16" s="14" t="s">
        <v>1</v>
      </c>
      <c r="C16" s="14" t="s">
        <v>76</v>
      </c>
      <c r="D16" s="15" t="s">
        <v>77</v>
      </c>
      <c r="E16" s="10">
        <f>SUM(F16+CC16+CU16)</f>
        <v>10507476</v>
      </c>
      <c r="F16" s="11">
        <f>SUM(G16+BC16)</f>
        <v>10089155</v>
      </c>
      <c r="G16" s="11">
        <f>SUM(H16+I16+J16+Q16+T16+U16+V16+AF16+AE16)</f>
        <v>10081880</v>
      </c>
      <c r="H16" s="16">
        <f>7005911+186824+50000</f>
        <v>7242735</v>
      </c>
      <c r="I16" s="16">
        <f>1701464+46706+12500</f>
        <v>1760670</v>
      </c>
      <c r="J16" s="11">
        <f>SUM(K16:P16)</f>
        <v>523215</v>
      </c>
      <c r="K16" s="16"/>
      <c r="L16" s="16"/>
      <c r="M16" s="16"/>
      <c r="N16" s="16"/>
      <c r="O16" s="16">
        <v>384516</v>
      </c>
      <c r="P16" s="16">
        <v>138699</v>
      </c>
      <c r="Q16" s="11">
        <f t="shared" si="6"/>
        <v>0</v>
      </c>
      <c r="R16" s="16"/>
      <c r="S16" s="16"/>
      <c r="T16" s="16"/>
      <c r="U16" s="16">
        <v>80406</v>
      </c>
      <c r="V16" s="11">
        <f>SUM(W16:AD16)</f>
        <v>97426</v>
      </c>
      <c r="W16" s="16">
        <v>17747</v>
      </c>
      <c r="X16" s="16">
        <f>14399+4001</f>
        <v>18400</v>
      </c>
      <c r="Y16" s="16">
        <f>39334-4104</f>
        <v>35230</v>
      </c>
      <c r="Z16" s="16">
        <v>8182</v>
      </c>
      <c r="AA16" s="16">
        <v>4454</v>
      </c>
      <c r="AB16" s="16">
        <v>648</v>
      </c>
      <c r="AC16" s="16"/>
      <c r="AD16" s="16">
        <f>12765+1722-1722</f>
        <v>12765</v>
      </c>
      <c r="AE16" s="16"/>
      <c r="AF16" s="11">
        <f>SUM(AG16:BB16)</f>
        <v>377428</v>
      </c>
      <c r="AG16" s="16"/>
      <c r="AH16" s="16"/>
      <c r="AI16" s="16">
        <f>19947+25000</f>
        <v>44947</v>
      </c>
      <c r="AJ16" s="16">
        <v>78736</v>
      </c>
      <c r="AK16" s="16"/>
      <c r="AL16" s="16">
        <v>15870</v>
      </c>
      <c r="AM16" s="16"/>
      <c r="AN16" s="16">
        <v>71</v>
      </c>
      <c r="AO16" s="16"/>
      <c r="AP16" s="16">
        <v>80680</v>
      </c>
      <c r="AQ16" s="16"/>
      <c r="AR16" s="16"/>
      <c r="AS16" s="16"/>
      <c r="AT16" s="16">
        <v>15441</v>
      </c>
      <c r="AU16" s="16">
        <v>11679</v>
      </c>
      <c r="AV16" s="16"/>
      <c r="AW16" s="16"/>
      <c r="AX16" s="16"/>
      <c r="AY16" s="16"/>
      <c r="AZ16" s="16"/>
      <c r="BA16" s="16">
        <f>129912-45000</f>
        <v>84912</v>
      </c>
      <c r="BB16" s="16">
        <f>25092+20000</f>
        <v>45092</v>
      </c>
      <c r="BC16" s="11">
        <f>SUM(BD16+BH16+BL16+BN16+BQ16)</f>
        <v>7275</v>
      </c>
      <c r="BD16" s="11">
        <f>SUM(BE16:BG16)</f>
        <v>0</v>
      </c>
      <c r="BE16" s="11">
        <v>0</v>
      </c>
      <c r="BF16" s="11">
        <v>0</v>
      </c>
      <c r="BG16" s="11">
        <v>0</v>
      </c>
      <c r="BH16" s="11">
        <f t="shared" si="7"/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f t="shared" si="8"/>
        <v>0</v>
      </c>
      <c r="BO16" s="11">
        <v>0</v>
      </c>
      <c r="BP16" s="11">
        <v>0</v>
      </c>
      <c r="BQ16" s="11">
        <f t="shared" si="9"/>
        <v>7275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6">
        <v>7275</v>
      </c>
      <c r="CB16" s="11">
        <v>0</v>
      </c>
      <c r="CC16" s="11">
        <f>SUM(CD16+CT16)</f>
        <v>418321</v>
      </c>
      <c r="CD16" s="11">
        <f>SUM(CE16+CH16+CM16)</f>
        <v>418321</v>
      </c>
      <c r="CE16" s="11">
        <f t="shared" si="10"/>
        <v>222592</v>
      </c>
      <c r="CF16" s="11">
        <v>0</v>
      </c>
      <c r="CG16" s="16">
        <v>222592</v>
      </c>
      <c r="CH16" s="11">
        <f>SUM(CI16:CL16)</f>
        <v>195729</v>
      </c>
      <c r="CI16" s="11">
        <v>195729</v>
      </c>
      <c r="CJ16" s="11">
        <v>0</v>
      </c>
      <c r="CK16" s="11">
        <v>0</v>
      </c>
      <c r="CL16" s="11">
        <v>0</v>
      </c>
      <c r="CM16" s="11">
        <f>SUM(CN16:CQ16)</f>
        <v>0</v>
      </c>
      <c r="CN16" s="11">
        <v>0</v>
      </c>
      <c r="CO16" s="11">
        <v>0</v>
      </c>
      <c r="CP16" s="11"/>
      <c r="CQ16" s="11">
        <v>0</v>
      </c>
      <c r="CR16" s="11">
        <v>0</v>
      </c>
      <c r="CS16" s="11">
        <v>0</v>
      </c>
      <c r="CT16" s="11">
        <v>0</v>
      </c>
      <c r="CU16" s="11">
        <f t="shared" si="11"/>
        <v>0</v>
      </c>
      <c r="CV16" s="11">
        <f t="shared" si="12"/>
        <v>0</v>
      </c>
      <c r="CW16" s="11">
        <v>0</v>
      </c>
      <c r="CX16" s="12">
        <v>0</v>
      </c>
    </row>
    <row r="17" spans="1:102" ht="31.5" customHeight="1" x14ac:dyDescent="0.25">
      <c r="A17" s="13" t="s">
        <v>1</v>
      </c>
      <c r="B17" s="14" t="s">
        <v>1</v>
      </c>
      <c r="C17" s="14" t="s">
        <v>78</v>
      </c>
      <c r="D17" s="15" t="s">
        <v>79</v>
      </c>
      <c r="E17" s="10">
        <f>SUM(F17+CC17+CU17)</f>
        <v>1696929</v>
      </c>
      <c r="F17" s="11">
        <f>SUM(G17+BC17)</f>
        <v>1671429</v>
      </c>
      <c r="G17" s="11">
        <f>SUM(H17+I17+J17+Q17+T17+U17+V17+AF17+AE17)</f>
        <v>1665678</v>
      </c>
      <c r="H17" s="16">
        <f>1095772+58441</f>
        <v>1154213</v>
      </c>
      <c r="I17" s="16">
        <f>264337+14610</f>
        <v>278947</v>
      </c>
      <c r="J17" s="11">
        <f>SUM(K17:P17)</f>
        <v>92352</v>
      </c>
      <c r="K17" s="16"/>
      <c r="L17" s="16"/>
      <c r="M17" s="16"/>
      <c r="N17" s="16"/>
      <c r="O17" s="16">
        <v>46888</v>
      </c>
      <c r="P17" s="16">
        <v>45464</v>
      </c>
      <c r="Q17" s="11">
        <f t="shared" si="6"/>
        <v>12350</v>
      </c>
      <c r="R17" s="16"/>
      <c r="S17" s="16">
        <v>12350</v>
      </c>
      <c r="T17" s="16"/>
      <c r="U17" s="16">
        <v>62424</v>
      </c>
      <c r="V17" s="11">
        <f>SUM(W17:AD17)</f>
        <v>17876</v>
      </c>
      <c r="W17" s="16"/>
      <c r="X17" s="16">
        <v>7513</v>
      </c>
      <c r="Y17" s="16">
        <v>8814</v>
      </c>
      <c r="Z17" s="16">
        <v>1549</v>
      </c>
      <c r="AA17" s="16"/>
      <c r="AB17" s="16"/>
      <c r="AC17" s="16"/>
      <c r="AD17" s="16"/>
      <c r="AE17" s="16"/>
      <c r="AF17" s="11">
        <f>SUM(AG17:BB17)</f>
        <v>47516</v>
      </c>
      <c r="AG17" s="16"/>
      <c r="AH17" s="16"/>
      <c r="AI17" s="16">
        <v>945</v>
      </c>
      <c r="AJ17" s="16"/>
      <c r="AK17" s="16"/>
      <c r="AL17" s="16"/>
      <c r="AM17" s="16"/>
      <c r="AN17" s="16"/>
      <c r="AO17" s="16"/>
      <c r="AP17" s="16">
        <v>17613</v>
      </c>
      <c r="AQ17" s="16"/>
      <c r="AR17" s="16"/>
      <c r="AS17" s="16"/>
      <c r="AT17" s="16">
        <v>28958</v>
      </c>
      <c r="AU17" s="16"/>
      <c r="AV17" s="16"/>
      <c r="AW17" s="16"/>
      <c r="AX17" s="16"/>
      <c r="AY17" s="16"/>
      <c r="AZ17" s="16"/>
      <c r="BA17" s="16"/>
      <c r="BB17" s="16"/>
      <c r="BC17" s="11">
        <f>SUM(BD17+BH17+BL17+BN17+BQ17)</f>
        <v>5751</v>
      </c>
      <c r="BD17" s="11">
        <f>SUM(BE17:BG17)</f>
        <v>0</v>
      </c>
      <c r="BE17" s="11">
        <v>0</v>
      </c>
      <c r="BF17" s="11">
        <v>0</v>
      </c>
      <c r="BG17" s="11">
        <v>0</v>
      </c>
      <c r="BH17" s="11">
        <f t="shared" si="7"/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f t="shared" si="8"/>
        <v>0</v>
      </c>
      <c r="BO17" s="11">
        <v>0</v>
      </c>
      <c r="BP17" s="11">
        <v>0</v>
      </c>
      <c r="BQ17" s="11">
        <f t="shared" si="9"/>
        <v>5751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6">
        <v>5751</v>
      </c>
      <c r="CB17" s="11">
        <v>0</v>
      </c>
      <c r="CC17" s="11">
        <f>SUM(CD17+CT17)</f>
        <v>25500</v>
      </c>
      <c r="CD17" s="11">
        <f>SUM(CE17+CH17+CM17)</f>
        <v>25500</v>
      </c>
      <c r="CE17" s="11">
        <f t="shared" si="10"/>
        <v>25500</v>
      </c>
      <c r="CF17" s="11">
        <v>0</v>
      </c>
      <c r="CG17" s="16">
        <v>25500</v>
      </c>
      <c r="CH17" s="11">
        <f>SUM(CI17:CL17)</f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f>SUM(CN17:CQ17)</f>
        <v>0</v>
      </c>
      <c r="CN17" s="11">
        <v>0</v>
      </c>
      <c r="CO17" s="11">
        <v>0</v>
      </c>
      <c r="CP17" s="11"/>
      <c r="CQ17" s="11">
        <v>0</v>
      </c>
      <c r="CR17" s="11">
        <v>0</v>
      </c>
      <c r="CS17" s="11">
        <v>0</v>
      </c>
      <c r="CT17" s="11">
        <v>0</v>
      </c>
      <c r="CU17" s="11">
        <f t="shared" si="11"/>
        <v>0</v>
      </c>
      <c r="CV17" s="11">
        <f t="shared" si="12"/>
        <v>0</v>
      </c>
      <c r="CW17" s="11">
        <v>0</v>
      </c>
      <c r="CX17" s="12">
        <v>0</v>
      </c>
    </row>
    <row r="18" spans="1:102" ht="31.5" customHeight="1" x14ac:dyDescent="0.25">
      <c r="A18" s="7"/>
      <c r="B18" s="8" t="s">
        <v>80</v>
      </c>
      <c r="C18" s="8" t="s">
        <v>1</v>
      </c>
      <c r="D18" s="9" t="s">
        <v>81</v>
      </c>
      <c r="E18" s="10">
        <f>SUM(E19:E35)</f>
        <v>88384882</v>
      </c>
      <c r="F18" s="11">
        <f t="shared" ref="F18:BW18" si="17">SUM(F19:F35)</f>
        <v>85771706</v>
      </c>
      <c r="G18" s="11">
        <f t="shared" si="17"/>
        <v>85244417</v>
      </c>
      <c r="H18" s="11">
        <f t="shared" si="17"/>
        <v>60416080</v>
      </c>
      <c r="I18" s="11">
        <f t="shared" si="17"/>
        <v>13815501</v>
      </c>
      <c r="J18" s="11">
        <f t="shared" si="17"/>
        <v>3582210</v>
      </c>
      <c r="K18" s="11">
        <f t="shared" si="17"/>
        <v>0</v>
      </c>
      <c r="L18" s="11">
        <f t="shared" si="17"/>
        <v>128129</v>
      </c>
      <c r="M18" s="11">
        <f t="shared" si="17"/>
        <v>0</v>
      </c>
      <c r="N18" s="11">
        <f t="shared" si="17"/>
        <v>0</v>
      </c>
      <c r="O18" s="11">
        <f t="shared" si="17"/>
        <v>1969806</v>
      </c>
      <c r="P18" s="11">
        <f t="shared" si="17"/>
        <v>1484275</v>
      </c>
      <c r="Q18" s="11">
        <f t="shared" si="17"/>
        <v>1283905</v>
      </c>
      <c r="R18" s="11">
        <f t="shared" si="17"/>
        <v>370</v>
      </c>
      <c r="S18" s="11">
        <f t="shared" si="17"/>
        <v>1283535</v>
      </c>
      <c r="T18" s="11">
        <f t="shared" si="17"/>
        <v>0</v>
      </c>
      <c r="U18" s="11">
        <f t="shared" si="17"/>
        <v>2152276</v>
      </c>
      <c r="V18" s="11">
        <f t="shared" si="17"/>
        <v>1914889</v>
      </c>
      <c r="W18" s="11">
        <f t="shared" si="17"/>
        <v>170607</v>
      </c>
      <c r="X18" s="11">
        <f t="shared" si="17"/>
        <v>818611</v>
      </c>
      <c r="Y18" s="11">
        <f t="shared" si="17"/>
        <v>665445</v>
      </c>
      <c r="Z18" s="11">
        <f t="shared" si="17"/>
        <v>105674</v>
      </c>
      <c r="AA18" s="11">
        <f t="shared" si="17"/>
        <v>62548</v>
      </c>
      <c r="AB18" s="11">
        <f t="shared" si="17"/>
        <v>53269</v>
      </c>
      <c r="AC18" s="11">
        <f t="shared" si="17"/>
        <v>0</v>
      </c>
      <c r="AD18" s="11">
        <f t="shared" si="17"/>
        <v>38735</v>
      </c>
      <c r="AE18" s="11">
        <f t="shared" si="17"/>
        <v>0</v>
      </c>
      <c r="AF18" s="11">
        <f t="shared" si="17"/>
        <v>2079556</v>
      </c>
      <c r="AG18" s="11">
        <f t="shared" si="17"/>
        <v>0</v>
      </c>
      <c r="AH18" s="11">
        <f t="shared" si="17"/>
        <v>0</v>
      </c>
      <c r="AI18" s="11">
        <f t="shared" si="17"/>
        <v>122695</v>
      </c>
      <c r="AJ18" s="11">
        <f t="shared" si="17"/>
        <v>427408</v>
      </c>
      <c r="AK18" s="11">
        <f t="shared" si="17"/>
        <v>1591</v>
      </c>
      <c r="AL18" s="11">
        <f t="shared" si="17"/>
        <v>26948</v>
      </c>
      <c r="AM18" s="11">
        <f t="shared" si="17"/>
        <v>50620</v>
      </c>
      <c r="AN18" s="11">
        <f t="shared" si="17"/>
        <v>21451</v>
      </c>
      <c r="AO18" s="11">
        <f t="shared" si="17"/>
        <v>136930</v>
      </c>
      <c r="AP18" s="11">
        <f t="shared" si="17"/>
        <v>403934</v>
      </c>
      <c r="AQ18" s="11">
        <f t="shared" si="17"/>
        <v>82</v>
      </c>
      <c r="AR18" s="11">
        <f t="shared" ref="AR18" si="18">SUM(AR19:AR35)</f>
        <v>0</v>
      </c>
      <c r="AS18" s="11">
        <f t="shared" si="17"/>
        <v>0</v>
      </c>
      <c r="AT18" s="11">
        <f t="shared" si="17"/>
        <v>225847</v>
      </c>
      <c r="AU18" s="11">
        <f t="shared" si="17"/>
        <v>35040</v>
      </c>
      <c r="AV18" s="11"/>
      <c r="AW18" s="11"/>
      <c r="AX18" s="11">
        <f t="shared" si="17"/>
        <v>0</v>
      </c>
      <c r="AY18" s="11">
        <f t="shared" si="17"/>
        <v>109048</v>
      </c>
      <c r="AZ18" s="11">
        <f t="shared" si="17"/>
        <v>0</v>
      </c>
      <c r="BA18" s="11">
        <f t="shared" si="17"/>
        <v>303302</v>
      </c>
      <c r="BB18" s="11">
        <f t="shared" si="17"/>
        <v>214660</v>
      </c>
      <c r="BC18" s="11">
        <f t="shared" si="17"/>
        <v>527289</v>
      </c>
      <c r="BD18" s="11">
        <f t="shared" si="17"/>
        <v>0</v>
      </c>
      <c r="BE18" s="11">
        <f t="shared" si="17"/>
        <v>0</v>
      </c>
      <c r="BF18" s="11">
        <f t="shared" si="17"/>
        <v>0</v>
      </c>
      <c r="BG18" s="11">
        <f t="shared" si="17"/>
        <v>0</v>
      </c>
      <c r="BH18" s="11">
        <f t="shared" si="17"/>
        <v>0</v>
      </c>
      <c r="BI18" s="11">
        <f t="shared" si="17"/>
        <v>0</v>
      </c>
      <c r="BJ18" s="11">
        <f t="shared" si="17"/>
        <v>0</v>
      </c>
      <c r="BK18" s="11">
        <f t="shared" si="17"/>
        <v>0</v>
      </c>
      <c r="BL18" s="11">
        <f t="shared" si="17"/>
        <v>0</v>
      </c>
      <c r="BM18" s="11">
        <f t="shared" si="17"/>
        <v>0</v>
      </c>
      <c r="BN18" s="11">
        <f t="shared" si="17"/>
        <v>0</v>
      </c>
      <c r="BO18" s="11">
        <f t="shared" si="17"/>
        <v>0</v>
      </c>
      <c r="BP18" s="11">
        <f t="shared" ref="BP18" si="19">SUM(BP19:BP35)</f>
        <v>0</v>
      </c>
      <c r="BQ18" s="11">
        <f t="shared" si="17"/>
        <v>527289</v>
      </c>
      <c r="BR18" s="11">
        <f t="shared" si="17"/>
        <v>0</v>
      </c>
      <c r="BS18" s="11">
        <f t="shared" si="17"/>
        <v>0</v>
      </c>
      <c r="BT18" s="11">
        <f t="shared" si="17"/>
        <v>0</v>
      </c>
      <c r="BU18" s="11">
        <f t="shared" si="17"/>
        <v>0</v>
      </c>
      <c r="BV18" s="11">
        <f t="shared" si="17"/>
        <v>0</v>
      </c>
      <c r="BW18" s="11">
        <f t="shared" si="17"/>
        <v>0</v>
      </c>
      <c r="BX18" s="11">
        <f t="shared" ref="BX18:CX18" si="20">SUM(BX19:BX35)</f>
        <v>0</v>
      </c>
      <c r="BY18" s="11">
        <f t="shared" si="20"/>
        <v>0</v>
      </c>
      <c r="BZ18" s="11">
        <f t="shared" si="20"/>
        <v>0</v>
      </c>
      <c r="CA18" s="11">
        <f t="shared" si="20"/>
        <v>527289</v>
      </c>
      <c r="CB18" s="11">
        <f t="shared" si="20"/>
        <v>0</v>
      </c>
      <c r="CC18" s="11">
        <f t="shared" si="20"/>
        <v>2613176</v>
      </c>
      <c r="CD18" s="11">
        <f t="shared" si="20"/>
        <v>2613176</v>
      </c>
      <c r="CE18" s="11">
        <f t="shared" si="20"/>
        <v>1150979</v>
      </c>
      <c r="CF18" s="11">
        <f t="shared" si="20"/>
        <v>0</v>
      </c>
      <c r="CG18" s="11">
        <f t="shared" si="20"/>
        <v>1150979</v>
      </c>
      <c r="CH18" s="11">
        <f t="shared" si="20"/>
        <v>1460000</v>
      </c>
      <c r="CI18" s="11">
        <f t="shared" si="20"/>
        <v>0</v>
      </c>
      <c r="CJ18" s="11">
        <f t="shared" si="20"/>
        <v>0</v>
      </c>
      <c r="CK18" s="11">
        <f t="shared" si="20"/>
        <v>1460000</v>
      </c>
      <c r="CL18" s="11">
        <f t="shared" si="20"/>
        <v>0</v>
      </c>
      <c r="CM18" s="11">
        <f t="shared" si="20"/>
        <v>2197</v>
      </c>
      <c r="CN18" s="11">
        <f t="shared" si="20"/>
        <v>0</v>
      </c>
      <c r="CO18" s="11">
        <f t="shared" si="20"/>
        <v>2197</v>
      </c>
      <c r="CP18" s="11"/>
      <c r="CQ18" s="11">
        <f t="shared" si="20"/>
        <v>0</v>
      </c>
      <c r="CR18" s="11">
        <f t="shared" si="20"/>
        <v>0</v>
      </c>
      <c r="CS18" s="11">
        <f t="shared" si="20"/>
        <v>0</v>
      </c>
      <c r="CT18" s="11">
        <f t="shared" si="20"/>
        <v>0</v>
      </c>
      <c r="CU18" s="11">
        <f t="shared" si="20"/>
        <v>0</v>
      </c>
      <c r="CV18" s="11">
        <f t="shared" si="20"/>
        <v>0</v>
      </c>
      <c r="CW18" s="11">
        <f t="shared" si="20"/>
        <v>0</v>
      </c>
      <c r="CX18" s="12">
        <f t="shared" si="20"/>
        <v>0</v>
      </c>
    </row>
    <row r="19" spans="1:102" ht="31.5" x14ac:dyDescent="0.25">
      <c r="A19" s="13" t="s">
        <v>1</v>
      </c>
      <c r="B19" s="14" t="s">
        <v>1</v>
      </c>
      <c r="C19" s="14" t="s">
        <v>82</v>
      </c>
      <c r="D19" s="15" t="s">
        <v>83</v>
      </c>
      <c r="E19" s="10">
        <f t="shared" ref="E19:E35" si="21">SUM(F19+CC19+CU19)</f>
        <v>16357077</v>
      </c>
      <c r="F19" s="11">
        <f t="shared" ref="F19:F35" si="22">SUM(G19+BC19)</f>
        <v>16198295</v>
      </c>
      <c r="G19" s="11">
        <f t="shared" ref="G19:G35" si="23">SUM(H19+I19+J19+Q19+T19+U19+V19+AF19+AE19)</f>
        <v>16171073</v>
      </c>
      <c r="H19" s="16">
        <f>10578399+282091+703938</f>
        <v>11564428</v>
      </c>
      <c r="I19" s="16">
        <f>2490281+70523+159458</f>
        <v>2720262</v>
      </c>
      <c r="J19" s="11">
        <f t="shared" ref="J19:J35" si="24">SUM(K19:P19)</f>
        <v>724861</v>
      </c>
      <c r="K19" s="16"/>
      <c r="L19" s="16"/>
      <c r="M19" s="16"/>
      <c r="N19" s="16"/>
      <c r="O19" s="16">
        <f>567038+779</f>
        <v>567817</v>
      </c>
      <c r="P19" s="16">
        <f>119605+37439</f>
        <v>157044</v>
      </c>
      <c r="Q19" s="11">
        <f t="shared" si="6"/>
        <v>115049</v>
      </c>
      <c r="R19" s="16">
        <f>0+370</f>
        <v>370</v>
      </c>
      <c r="S19" s="16">
        <f>99970+14709</f>
        <v>114679</v>
      </c>
      <c r="T19" s="11">
        <v>0</v>
      </c>
      <c r="U19" s="16">
        <f>237738+32141</f>
        <v>269879</v>
      </c>
      <c r="V19" s="11">
        <f t="shared" ref="V19:V35" si="25">SUM(W19:AD19)</f>
        <v>370457</v>
      </c>
      <c r="W19" s="16">
        <f>48513+76</f>
        <v>48589</v>
      </c>
      <c r="X19" s="16">
        <f>115060+9189</f>
        <v>124249</v>
      </c>
      <c r="Y19" s="16">
        <f>140000+11296</f>
        <v>151296</v>
      </c>
      <c r="Z19" s="16">
        <f>19860+1991+2781</f>
        <v>24632</v>
      </c>
      <c r="AA19" s="16">
        <v>12913</v>
      </c>
      <c r="AB19" s="16">
        <v>301</v>
      </c>
      <c r="AC19" s="16"/>
      <c r="AD19" s="16">
        <v>8477</v>
      </c>
      <c r="AE19" s="11"/>
      <c r="AF19" s="11">
        <f t="shared" ref="AF19:AF35" si="26">SUM(AG19:BB19)</f>
        <v>406137</v>
      </c>
      <c r="AG19" s="11">
        <v>0</v>
      </c>
      <c r="AH19" s="16"/>
      <c r="AI19" s="16">
        <f>39650+3232</f>
        <v>42882</v>
      </c>
      <c r="AJ19" s="16">
        <v>8937</v>
      </c>
      <c r="AK19" s="16"/>
      <c r="AL19" s="16">
        <v>3877</v>
      </c>
      <c r="AM19" s="16"/>
      <c r="AN19" s="16">
        <f>9122+120</f>
        <v>9242</v>
      </c>
      <c r="AO19" s="16">
        <f>53231+11650</f>
        <v>64881</v>
      </c>
      <c r="AP19" s="16">
        <f>45674+2622-6055</f>
        <v>42241</v>
      </c>
      <c r="AQ19" s="16"/>
      <c r="AR19" s="16"/>
      <c r="AS19" s="16"/>
      <c r="AT19" s="16">
        <f>15508+6085</f>
        <v>21593</v>
      </c>
      <c r="AU19" s="16">
        <v>1556</v>
      </c>
      <c r="AV19" s="16"/>
      <c r="AW19" s="16"/>
      <c r="AX19" s="16"/>
      <c r="AY19" s="16"/>
      <c r="AZ19" s="16"/>
      <c r="BA19" s="16">
        <v>202032</v>
      </c>
      <c r="BB19" s="16">
        <f>7844+1052</f>
        <v>8896</v>
      </c>
      <c r="BC19" s="11">
        <f t="shared" ref="BC19:BC35" si="27">SUM(BD19+BH19+BL19+BN19+BQ19)</f>
        <v>27222</v>
      </c>
      <c r="BD19" s="11">
        <f t="shared" ref="BD19:BD35" si="28">SUM(BE19:BG19)</f>
        <v>0</v>
      </c>
      <c r="BE19" s="11">
        <v>0</v>
      </c>
      <c r="BF19" s="11">
        <v>0</v>
      </c>
      <c r="BG19" s="11">
        <v>0</v>
      </c>
      <c r="BH19" s="11">
        <f t="shared" si="7"/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f t="shared" si="8"/>
        <v>0</v>
      </c>
      <c r="BO19" s="11">
        <v>0</v>
      </c>
      <c r="BP19" s="11">
        <v>0</v>
      </c>
      <c r="BQ19" s="11">
        <f t="shared" si="9"/>
        <v>27222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6">
        <f>24538+2684</f>
        <v>27222</v>
      </c>
      <c r="CB19" s="11">
        <v>0</v>
      </c>
      <c r="CC19" s="11">
        <f t="shared" ref="CC19:CC35" si="29">SUM(CD19+CT19)</f>
        <v>158782</v>
      </c>
      <c r="CD19" s="11">
        <f t="shared" ref="CD19:CD35" si="30">SUM(CE19+CH19+CM19)</f>
        <v>158782</v>
      </c>
      <c r="CE19" s="11">
        <f t="shared" si="10"/>
        <v>158782</v>
      </c>
      <c r="CF19" s="11">
        <v>0</v>
      </c>
      <c r="CG19" s="16">
        <f>158222+560</f>
        <v>158782</v>
      </c>
      <c r="CH19" s="11">
        <f t="shared" ref="CH19:CH35" si="31">SUM(CI19:CL19)</f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f t="shared" ref="CM19:CM35" si="32">SUM(CN19:CQ19)</f>
        <v>0</v>
      </c>
      <c r="CN19" s="11">
        <v>0</v>
      </c>
      <c r="CO19" s="11">
        <v>0</v>
      </c>
      <c r="CP19" s="11"/>
      <c r="CQ19" s="11">
        <v>0</v>
      </c>
      <c r="CR19" s="11">
        <v>0</v>
      </c>
      <c r="CS19" s="11">
        <v>0</v>
      </c>
      <c r="CT19" s="11">
        <v>0</v>
      </c>
      <c r="CU19" s="11">
        <f t="shared" si="11"/>
        <v>0</v>
      </c>
      <c r="CV19" s="11">
        <f t="shared" si="12"/>
        <v>0</v>
      </c>
      <c r="CW19" s="11">
        <v>0</v>
      </c>
      <c r="CX19" s="12">
        <v>0</v>
      </c>
    </row>
    <row r="20" spans="1:102" ht="31.5" x14ac:dyDescent="0.25">
      <c r="A20" s="13" t="s">
        <v>1</v>
      </c>
      <c r="B20" s="14" t="s">
        <v>1</v>
      </c>
      <c r="C20" s="14" t="s">
        <v>84</v>
      </c>
      <c r="D20" s="15" t="s">
        <v>85</v>
      </c>
      <c r="E20" s="10">
        <f t="shared" si="21"/>
        <v>6122484</v>
      </c>
      <c r="F20" s="11">
        <f t="shared" si="22"/>
        <v>6096759</v>
      </c>
      <c r="G20" s="11">
        <f t="shared" si="23"/>
        <v>6089474</v>
      </c>
      <c r="H20" s="16">
        <f>4140900+110424</f>
        <v>4251324</v>
      </c>
      <c r="I20" s="16">
        <f>1035760+27606</f>
        <v>1063366</v>
      </c>
      <c r="J20" s="11">
        <f t="shared" si="24"/>
        <v>403973</v>
      </c>
      <c r="K20" s="16"/>
      <c r="L20" s="16"/>
      <c r="M20" s="16"/>
      <c r="N20" s="16"/>
      <c r="O20" s="16">
        <f>129790</f>
        <v>129790</v>
      </c>
      <c r="P20" s="16">
        <f>85547+188636</f>
        <v>274183</v>
      </c>
      <c r="Q20" s="11">
        <f t="shared" si="6"/>
        <v>76613</v>
      </c>
      <c r="R20" s="16"/>
      <c r="S20" s="16">
        <v>76613</v>
      </c>
      <c r="T20" s="11">
        <v>0</v>
      </c>
      <c r="U20" s="16">
        <v>144668</v>
      </c>
      <c r="V20" s="11">
        <f t="shared" si="25"/>
        <v>58352</v>
      </c>
      <c r="W20" s="16">
        <v>1473</v>
      </c>
      <c r="X20" s="16">
        <v>28561</v>
      </c>
      <c r="Y20" s="16">
        <v>21741</v>
      </c>
      <c r="Z20" s="16">
        <v>3827</v>
      </c>
      <c r="AA20" s="16">
        <f>3943-1193</f>
        <v>2750</v>
      </c>
      <c r="AB20" s="16"/>
      <c r="AC20" s="16"/>
      <c r="AD20" s="16"/>
      <c r="AE20" s="11"/>
      <c r="AF20" s="11">
        <f t="shared" si="26"/>
        <v>91178</v>
      </c>
      <c r="AG20" s="11">
        <v>0</v>
      </c>
      <c r="AH20" s="16"/>
      <c r="AI20" s="16">
        <v>19377</v>
      </c>
      <c r="AJ20" s="16"/>
      <c r="AK20" s="16"/>
      <c r="AL20" s="16"/>
      <c r="AM20" s="16"/>
      <c r="AN20" s="16">
        <v>115</v>
      </c>
      <c r="AO20" s="16">
        <v>513</v>
      </c>
      <c r="AP20" s="16">
        <v>14550</v>
      </c>
      <c r="AQ20" s="16"/>
      <c r="AR20" s="16"/>
      <c r="AS20" s="16"/>
      <c r="AT20" s="16">
        <v>34966</v>
      </c>
      <c r="AU20" s="16">
        <v>2188</v>
      </c>
      <c r="AV20" s="16"/>
      <c r="AW20" s="16"/>
      <c r="AX20" s="16"/>
      <c r="AY20" s="16"/>
      <c r="AZ20" s="16"/>
      <c r="BA20" s="16"/>
      <c r="BB20" s="16">
        <v>19469</v>
      </c>
      <c r="BC20" s="11">
        <f t="shared" si="27"/>
        <v>7285</v>
      </c>
      <c r="BD20" s="11">
        <f t="shared" si="28"/>
        <v>0</v>
      </c>
      <c r="BE20" s="11">
        <v>0</v>
      </c>
      <c r="BF20" s="11">
        <v>0</v>
      </c>
      <c r="BG20" s="11">
        <v>0</v>
      </c>
      <c r="BH20" s="11">
        <f t="shared" si="7"/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f t="shared" si="8"/>
        <v>0</v>
      </c>
      <c r="BO20" s="11">
        <v>0</v>
      </c>
      <c r="BP20" s="11">
        <v>0</v>
      </c>
      <c r="BQ20" s="11">
        <f t="shared" si="9"/>
        <v>7285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6">
        <v>7285</v>
      </c>
      <c r="CB20" s="11">
        <v>0</v>
      </c>
      <c r="CC20" s="11">
        <f t="shared" si="29"/>
        <v>25725</v>
      </c>
      <c r="CD20" s="11">
        <f t="shared" si="30"/>
        <v>25725</v>
      </c>
      <c r="CE20" s="11">
        <f t="shared" si="10"/>
        <v>25725</v>
      </c>
      <c r="CF20" s="11">
        <v>0</v>
      </c>
      <c r="CG20" s="16">
        <v>25725</v>
      </c>
      <c r="CH20" s="11">
        <f t="shared" si="31"/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f t="shared" si="32"/>
        <v>0</v>
      </c>
      <c r="CN20" s="11">
        <v>0</v>
      </c>
      <c r="CO20" s="11">
        <v>0</v>
      </c>
      <c r="CP20" s="11"/>
      <c r="CQ20" s="11">
        <v>0</v>
      </c>
      <c r="CR20" s="11"/>
      <c r="CS20" s="11"/>
      <c r="CT20" s="11">
        <v>0</v>
      </c>
      <c r="CU20" s="11">
        <f t="shared" si="11"/>
        <v>0</v>
      </c>
      <c r="CV20" s="11">
        <f t="shared" si="12"/>
        <v>0</v>
      </c>
      <c r="CW20" s="11">
        <v>0</v>
      </c>
      <c r="CX20" s="12">
        <v>0</v>
      </c>
    </row>
    <row r="21" spans="1:102" ht="31.5" x14ac:dyDescent="0.25">
      <c r="A21" s="13" t="s">
        <v>1</v>
      </c>
      <c r="B21" s="14" t="s">
        <v>1</v>
      </c>
      <c r="C21" s="14" t="s">
        <v>86</v>
      </c>
      <c r="D21" s="15" t="s">
        <v>87</v>
      </c>
      <c r="E21" s="10">
        <f t="shared" si="21"/>
        <v>7053123</v>
      </c>
      <c r="F21" s="11">
        <f t="shared" si="22"/>
        <v>7032866</v>
      </c>
      <c r="G21" s="11">
        <f t="shared" si="23"/>
        <v>7027115</v>
      </c>
      <c r="H21" s="16">
        <f>5304006+141440</f>
        <v>5445446</v>
      </c>
      <c r="I21" s="16">
        <f>1256226+35360</f>
        <v>1291586</v>
      </c>
      <c r="J21" s="11">
        <f t="shared" si="24"/>
        <v>105678</v>
      </c>
      <c r="K21" s="16"/>
      <c r="L21" s="16"/>
      <c r="M21" s="16"/>
      <c r="N21" s="16"/>
      <c r="O21" s="16">
        <f>42402</f>
        <v>42402</v>
      </c>
      <c r="P21" s="16">
        <f>42920+20356</f>
        <v>63276</v>
      </c>
      <c r="Q21" s="11">
        <f t="shared" si="6"/>
        <v>65363</v>
      </c>
      <c r="R21" s="16"/>
      <c r="S21" s="16">
        <v>65363</v>
      </c>
      <c r="T21" s="11">
        <v>0</v>
      </c>
      <c r="U21" s="16">
        <f>128922-61000</f>
        <v>67922</v>
      </c>
      <c r="V21" s="11">
        <f t="shared" si="25"/>
        <v>0</v>
      </c>
      <c r="W21" s="16"/>
      <c r="X21" s="16"/>
      <c r="Y21" s="16"/>
      <c r="Z21" s="16"/>
      <c r="AA21" s="16"/>
      <c r="AB21" s="16"/>
      <c r="AC21" s="16"/>
      <c r="AD21" s="16"/>
      <c r="AE21" s="11"/>
      <c r="AF21" s="11">
        <f t="shared" si="26"/>
        <v>51120</v>
      </c>
      <c r="AG21" s="11">
        <v>0</v>
      </c>
      <c r="AH21" s="16"/>
      <c r="AI21" s="16"/>
      <c r="AJ21" s="16"/>
      <c r="AK21" s="16"/>
      <c r="AL21" s="16"/>
      <c r="AM21" s="16"/>
      <c r="AN21" s="16"/>
      <c r="AO21" s="16"/>
      <c r="AP21" s="16">
        <v>10476</v>
      </c>
      <c r="AQ21" s="16"/>
      <c r="AR21" s="16"/>
      <c r="AS21" s="16"/>
      <c r="AT21" s="16"/>
      <c r="AU21" s="16">
        <f>0+30000</f>
        <v>30000</v>
      </c>
      <c r="AV21" s="16"/>
      <c r="AW21" s="16"/>
      <c r="AX21" s="16"/>
      <c r="AY21" s="16"/>
      <c r="AZ21" s="16"/>
      <c r="BA21" s="16"/>
      <c r="BB21" s="16">
        <f>0+10644</f>
        <v>10644</v>
      </c>
      <c r="BC21" s="11">
        <f t="shared" si="27"/>
        <v>5751</v>
      </c>
      <c r="BD21" s="11">
        <f t="shared" si="28"/>
        <v>0</v>
      </c>
      <c r="BE21" s="11">
        <v>0</v>
      </c>
      <c r="BF21" s="11">
        <v>0</v>
      </c>
      <c r="BG21" s="11">
        <v>0</v>
      </c>
      <c r="BH21" s="11">
        <f t="shared" si="7"/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f t="shared" si="8"/>
        <v>0</v>
      </c>
      <c r="BO21" s="11">
        <v>0</v>
      </c>
      <c r="BP21" s="11">
        <v>0</v>
      </c>
      <c r="BQ21" s="11">
        <f t="shared" si="9"/>
        <v>5751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6">
        <v>5751</v>
      </c>
      <c r="CB21" s="11">
        <v>0</v>
      </c>
      <c r="CC21" s="11">
        <f t="shared" si="29"/>
        <v>20257</v>
      </c>
      <c r="CD21" s="11">
        <f t="shared" si="30"/>
        <v>20257</v>
      </c>
      <c r="CE21" s="11">
        <f t="shared" si="10"/>
        <v>20257</v>
      </c>
      <c r="CF21" s="11">
        <v>0</v>
      </c>
      <c r="CG21" s="16">
        <v>20257</v>
      </c>
      <c r="CH21" s="11">
        <f t="shared" si="31"/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f t="shared" si="32"/>
        <v>0</v>
      </c>
      <c r="CN21" s="11">
        <v>0</v>
      </c>
      <c r="CO21" s="11">
        <v>0</v>
      </c>
      <c r="CP21" s="11"/>
      <c r="CQ21" s="11">
        <v>0</v>
      </c>
      <c r="CR21" s="11">
        <v>0</v>
      </c>
      <c r="CS21" s="11">
        <v>0</v>
      </c>
      <c r="CT21" s="11">
        <v>0</v>
      </c>
      <c r="CU21" s="11">
        <f t="shared" si="11"/>
        <v>0</v>
      </c>
      <c r="CV21" s="11">
        <f t="shared" si="12"/>
        <v>0</v>
      </c>
      <c r="CW21" s="11">
        <v>0</v>
      </c>
      <c r="CX21" s="12">
        <v>0</v>
      </c>
    </row>
    <row r="22" spans="1:102" ht="31.5" x14ac:dyDescent="0.25">
      <c r="A22" s="13" t="s">
        <v>1</v>
      </c>
      <c r="B22" s="14" t="s">
        <v>1</v>
      </c>
      <c r="C22" s="14" t="s">
        <v>88</v>
      </c>
      <c r="D22" s="15" t="s">
        <v>89</v>
      </c>
      <c r="E22" s="10">
        <f t="shared" si="21"/>
        <v>5280827</v>
      </c>
      <c r="F22" s="11">
        <f t="shared" si="22"/>
        <v>5166514</v>
      </c>
      <c r="G22" s="11">
        <f t="shared" si="23"/>
        <v>5162680</v>
      </c>
      <c r="H22" s="16">
        <f>3240409+172822</f>
        <v>3413231</v>
      </c>
      <c r="I22" s="16">
        <f>772851+43205</f>
        <v>816056</v>
      </c>
      <c r="J22" s="11">
        <f t="shared" si="24"/>
        <v>100292</v>
      </c>
      <c r="K22" s="16"/>
      <c r="L22" s="16"/>
      <c r="M22" s="16"/>
      <c r="N22" s="16"/>
      <c r="O22" s="16">
        <v>70844</v>
      </c>
      <c r="P22" s="16">
        <f>19261+10187</f>
        <v>29448</v>
      </c>
      <c r="Q22" s="11">
        <f t="shared" si="6"/>
        <v>68194</v>
      </c>
      <c r="R22" s="16"/>
      <c r="S22" s="16">
        <v>68194</v>
      </c>
      <c r="T22" s="11">
        <v>0</v>
      </c>
      <c r="U22" s="16">
        <f>235476+35687+90560+40210</f>
        <v>401933</v>
      </c>
      <c r="V22" s="11">
        <f t="shared" si="25"/>
        <v>327763</v>
      </c>
      <c r="W22" s="16"/>
      <c r="X22" s="16">
        <f>127958+150409</f>
        <v>278367</v>
      </c>
      <c r="Y22" s="16">
        <v>35929</v>
      </c>
      <c r="Z22" s="16">
        <v>5826</v>
      </c>
      <c r="AA22" s="16">
        <v>7641</v>
      </c>
      <c r="AB22" s="16"/>
      <c r="AC22" s="16"/>
      <c r="AD22" s="16"/>
      <c r="AE22" s="11"/>
      <c r="AF22" s="11">
        <f t="shared" si="26"/>
        <v>35211</v>
      </c>
      <c r="AG22" s="11">
        <v>0</v>
      </c>
      <c r="AH22" s="16"/>
      <c r="AI22" s="16">
        <v>785</v>
      </c>
      <c r="AJ22" s="16">
        <v>924</v>
      </c>
      <c r="AK22" s="16"/>
      <c r="AL22" s="16"/>
      <c r="AM22" s="16"/>
      <c r="AN22" s="16">
        <f>0+1500</f>
        <v>1500</v>
      </c>
      <c r="AO22" s="16"/>
      <c r="AP22" s="16">
        <v>13386</v>
      </c>
      <c r="AQ22" s="16"/>
      <c r="AR22" s="16"/>
      <c r="AS22" s="16"/>
      <c r="AT22" s="16">
        <v>18616</v>
      </c>
      <c r="AU22" s="16"/>
      <c r="AV22" s="16"/>
      <c r="AW22" s="16"/>
      <c r="AX22" s="16"/>
      <c r="AY22" s="16"/>
      <c r="AZ22" s="16"/>
      <c r="BA22" s="16"/>
      <c r="BB22" s="16">
        <f>11687-11687</f>
        <v>0</v>
      </c>
      <c r="BC22" s="11">
        <f t="shared" si="27"/>
        <v>3834</v>
      </c>
      <c r="BD22" s="11">
        <f t="shared" si="28"/>
        <v>0</v>
      </c>
      <c r="BE22" s="11">
        <v>0</v>
      </c>
      <c r="BF22" s="11">
        <v>0</v>
      </c>
      <c r="BG22" s="11">
        <v>0</v>
      </c>
      <c r="BH22" s="11">
        <f t="shared" si="7"/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f t="shared" si="8"/>
        <v>0</v>
      </c>
      <c r="BO22" s="11">
        <v>0</v>
      </c>
      <c r="BP22" s="11">
        <v>0</v>
      </c>
      <c r="BQ22" s="11">
        <f t="shared" si="9"/>
        <v>3834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6">
        <v>3834</v>
      </c>
      <c r="CB22" s="11">
        <v>0</v>
      </c>
      <c r="CC22" s="11">
        <f t="shared" si="29"/>
        <v>114313</v>
      </c>
      <c r="CD22" s="11">
        <f t="shared" si="30"/>
        <v>114313</v>
      </c>
      <c r="CE22" s="11">
        <f t="shared" si="10"/>
        <v>114313</v>
      </c>
      <c r="CF22" s="11">
        <v>0</v>
      </c>
      <c r="CG22" s="16">
        <f>0+114313</f>
        <v>114313</v>
      </c>
      <c r="CH22" s="11">
        <f t="shared" si="31"/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f t="shared" si="32"/>
        <v>0</v>
      </c>
      <c r="CN22" s="11">
        <v>0</v>
      </c>
      <c r="CO22" s="11">
        <v>0</v>
      </c>
      <c r="CP22" s="11"/>
      <c r="CQ22" s="11">
        <v>0</v>
      </c>
      <c r="CR22" s="11">
        <v>0</v>
      </c>
      <c r="CS22" s="11">
        <v>0</v>
      </c>
      <c r="CT22" s="11">
        <v>0</v>
      </c>
      <c r="CU22" s="11">
        <f t="shared" si="11"/>
        <v>0</v>
      </c>
      <c r="CV22" s="11">
        <f t="shared" si="12"/>
        <v>0</v>
      </c>
      <c r="CW22" s="11">
        <v>0</v>
      </c>
      <c r="CX22" s="12">
        <v>0</v>
      </c>
    </row>
    <row r="23" spans="1:102" ht="15.75" x14ac:dyDescent="0.25">
      <c r="A23" s="13" t="s">
        <v>1</v>
      </c>
      <c r="B23" s="14" t="s">
        <v>1</v>
      </c>
      <c r="C23" s="14" t="s">
        <v>90</v>
      </c>
      <c r="D23" s="15" t="s">
        <v>91</v>
      </c>
      <c r="E23" s="10">
        <f t="shared" si="21"/>
        <v>5694960</v>
      </c>
      <c r="F23" s="11">
        <f t="shared" si="22"/>
        <v>5486939</v>
      </c>
      <c r="G23" s="11">
        <f t="shared" si="23"/>
        <v>5479654</v>
      </c>
      <c r="H23" s="16">
        <f>3634112+96910+164937</f>
        <v>3895959</v>
      </c>
      <c r="I23" s="16">
        <f>746860+24227+147664</f>
        <v>918751</v>
      </c>
      <c r="J23" s="11">
        <f t="shared" si="24"/>
        <v>271789</v>
      </c>
      <c r="K23" s="16"/>
      <c r="L23" s="16"/>
      <c r="M23" s="16"/>
      <c r="N23" s="16"/>
      <c r="O23" s="16">
        <v>224740</v>
      </c>
      <c r="P23" s="16">
        <v>47049</v>
      </c>
      <c r="Q23" s="11">
        <f t="shared" si="6"/>
        <v>13098</v>
      </c>
      <c r="R23" s="16"/>
      <c r="S23" s="16">
        <v>13098</v>
      </c>
      <c r="T23" s="11">
        <v>0</v>
      </c>
      <c r="U23" s="16">
        <v>188727</v>
      </c>
      <c r="V23" s="11">
        <f t="shared" si="25"/>
        <v>106841</v>
      </c>
      <c r="W23" s="16">
        <v>6419</v>
      </c>
      <c r="X23" s="16">
        <f>30235+3885</f>
        <v>34120</v>
      </c>
      <c r="Y23" s="16">
        <f>72803-25348</f>
        <v>47455</v>
      </c>
      <c r="Z23" s="16">
        <f>13174-2886</f>
        <v>10288</v>
      </c>
      <c r="AA23" s="16">
        <v>2305</v>
      </c>
      <c r="AB23" s="16"/>
      <c r="AC23" s="16"/>
      <c r="AD23" s="16">
        <f>8357-2924+821</f>
        <v>6254</v>
      </c>
      <c r="AE23" s="11"/>
      <c r="AF23" s="11">
        <f t="shared" si="26"/>
        <v>84489</v>
      </c>
      <c r="AG23" s="11">
        <v>0</v>
      </c>
      <c r="AH23" s="16"/>
      <c r="AI23" s="16">
        <v>6739</v>
      </c>
      <c r="AJ23" s="16"/>
      <c r="AK23" s="16"/>
      <c r="AL23" s="16">
        <v>7026</v>
      </c>
      <c r="AM23" s="16">
        <v>620</v>
      </c>
      <c r="AN23" s="16"/>
      <c r="AO23" s="16">
        <v>1950</v>
      </c>
      <c r="AP23" s="16">
        <v>25026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>
        <v>40553</v>
      </c>
      <c r="BB23" s="16">
        <v>2575</v>
      </c>
      <c r="BC23" s="11">
        <f t="shared" si="27"/>
        <v>7285</v>
      </c>
      <c r="BD23" s="11">
        <f t="shared" si="28"/>
        <v>0</v>
      </c>
      <c r="BE23" s="11">
        <v>0</v>
      </c>
      <c r="BF23" s="11">
        <v>0</v>
      </c>
      <c r="BG23" s="11">
        <v>0</v>
      </c>
      <c r="BH23" s="11">
        <f t="shared" si="7"/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f t="shared" si="8"/>
        <v>0</v>
      </c>
      <c r="BO23" s="11">
        <v>0</v>
      </c>
      <c r="BP23" s="11">
        <v>0</v>
      </c>
      <c r="BQ23" s="11">
        <f t="shared" si="9"/>
        <v>7285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6">
        <v>7285</v>
      </c>
      <c r="CB23" s="11">
        <v>0</v>
      </c>
      <c r="CC23" s="11">
        <f t="shared" si="29"/>
        <v>208021</v>
      </c>
      <c r="CD23" s="11">
        <f t="shared" si="30"/>
        <v>208021</v>
      </c>
      <c r="CE23" s="11">
        <f t="shared" si="10"/>
        <v>208021</v>
      </c>
      <c r="CF23" s="11">
        <v>0</v>
      </c>
      <c r="CG23" s="16">
        <v>208021</v>
      </c>
      <c r="CH23" s="11">
        <f t="shared" si="31"/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f t="shared" si="32"/>
        <v>0</v>
      </c>
      <c r="CN23" s="11">
        <v>0</v>
      </c>
      <c r="CO23" s="11">
        <v>0</v>
      </c>
      <c r="CP23" s="11"/>
      <c r="CQ23" s="11">
        <v>0</v>
      </c>
      <c r="CR23" s="11">
        <v>0</v>
      </c>
      <c r="CS23" s="11">
        <v>0</v>
      </c>
      <c r="CT23" s="11">
        <v>0</v>
      </c>
      <c r="CU23" s="11">
        <f t="shared" si="11"/>
        <v>0</v>
      </c>
      <c r="CV23" s="11">
        <f t="shared" si="12"/>
        <v>0</v>
      </c>
      <c r="CW23" s="11">
        <v>0</v>
      </c>
      <c r="CX23" s="12">
        <v>0</v>
      </c>
    </row>
    <row r="24" spans="1:102" ht="31.5" x14ac:dyDescent="0.25">
      <c r="A24" s="13" t="s">
        <v>1</v>
      </c>
      <c r="B24" s="14" t="s">
        <v>1</v>
      </c>
      <c r="C24" s="14" t="s">
        <v>92</v>
      </c>
      <c r="D24" s="15" t="s">
        <v>93</v>
      </c>
      <c r="E24" s="10">
        <f t="shared" si="21"/>
        <v>7095731</v>
      </c>
      <c r="F24" s="11">
        <f t="shared" si="22"/>
        <v>7022456</v>
      </c>
      <c r="G24" s="11">
        <f t="shared" si="23"/>
        <v>6780388</v>
      </c>
      <c r="H24" s="16">
        <f>3929040+104774</f>
        <v>4033814</v>
      </c>
      <c r="I24" s="16">
        <f>954496+26194</f>
        <v>980690</v>
      </c>
      <c r="J24" s="11">
        <f t="shared" si="24"/>
        <v>382976</v>
      </c>
      <c r="K24" s="16"/>
      <c r="L24" s="16">
        <v>5410</v>
      </c>
      <c r="M24" s="16"/>
      <c r="N24" s="16"/>
      <c r="O24" s="16">
        <v>272045</v>
      </c>
      <c r="P24" s="16">
        <v>105521</v>
      </c>
      <c r="Q24" s="11">
        <f t="shared" si="6"/>
        <v>822447</v>
      </c>
      <c r="R24" s="16"/>
      <c r="S24" s="16">
        <v>822447</v>
      </c>
      <c r="T24" s="11">
        <v>0</v>
      </c>
      <c r="U24" s="16">
        <v>136145</v>
      </c>
      <c r="V24" s="11">
        <f t="shared" si="25"/>
        <v>71880</v>
      </c>
      <c r="W24" s="16">
        <f>20371-8237</f>
        <v>12134</v>
      </c>
      <c r="X24" s="16"/>
      <c r="Y24" s="16">
        <f>26465+7400</f>
        <v>33865</v>
      </c>
      <c r="Z24" s="16">
        <f>10472-13</f>
        <v>10459</v>
      </c>
      <c r="AA24" s="16">
        <v>6855</v>
      </c>
      <c r="AB24" s="16"/>
      <c r="AC24" s="16"/>
      <c r="AD24" s="16">
        <f>7730+837</f>
        <v>8567</v>
      </c>
      <c r="AE24" s="11"/>
      <c r="AF24" s="11">
        <f t="shared" si="26"/>
        <v>352436</v>
      </c>
      <c r="AG24" s="11">
        <v>0</v>
      </c>
      <c r="AH24" s="16"/>
      <c r="AI24" s="16">
        <v>11342</v>
      </c>
      <c r="AJ24" s="16">
        <v>54914</v>
      </c>
      <c r="AK24" s="16"/>
      <c r="AL24" s="16">
        <v>4960</v>
      </c>
      <c r="AM24" s="16"/>
      <c r="AN24" s="16"/>
      <c r="AO24" s="16">
        <v>13400</v>
      </c>
      <c r="AP24" s="16">
        <v>191752</v>
      </c>
      <c r="AQ24" s="16"/>
      <c r="AR24" s="16"/>
      <c r="AS24" s="16"/>
      <c r="AT24" s="16">
        <v>12351</v>
      </c>
      <c r="AU24" s="16">
        <v>1000</v>
      </c>
      <c r="AV24" s="16"/>
      <c r="AW24" s="16"/>
      <c r="AX24" s="16"/>
      <c r="AY24" s="16"/>
      <c r="AZ24" s="16"/>
      <c r="BA24" s="16">
        <v>60717</v>
      </c>
      <c r="BB24" s="16">
        <v>2000</v>
      </c>
      <c r="BC24" s="11">
        <f t="shared" si="27"/>
        <v>242068</v>
      </c>
      <c r="BD24" s="11">
        <f t="shared" si="28"/>
        <v>0</v>
      </c>
      <c r="BE24" s="11">
        <v>0</v>
      </c>
      <c r="BF24" s="11">
        <v>0</v>
      </c>
      <c r="BG24" s="11">
        <v>0</v>
      </c>
      <c r="BH24" s="11">
        <f t="shared" si="7"/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f t="shared" si="8"/>
        <v>0</v>
      </c>
      <c r="BO24" s="11">
        <v>0</v>
      </c>
      <c r="BP24" s="11">
        <v>0</v>
      </c>
      <c r="BQ24" s="11">
        <f t="shared" si="9"/>
        <v>242068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6">
        <v>242068</v>
      </c>
      <c r="CB24" s="11">
        <v>0</v>
      </c>
      <c r="CC24" s="11">
        <f t="shared" si="29"/>
        <v>73275</v>
      </c>
      <c r="CD24" s="11">
        <f t="shared" si="30"/>
        <v>73275</v>
      </c>
      <c r="CE24" s="11">
        <f t="shared" si="10"/>
        <v>73275</v>
      </c>
      <c r="CF24" s="11">
        <v>0</v>
      </c>
      <c r="CG24" s="16">
        <v>73275</v>
      </c>
      <c r="CH24" s="11">
        <f t="shared" si="31"/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f t="shared" si="32"/>
        <v>0</v>
      </c>
      <c r="CN24" s="11">
        <v>0</v>
      </c>
      <c r="CO24" s="11">
        <v>0</v>
      </c>
      <c r="CP24" s="11"/>
      <c r="CQ24" s="11">
        <v>0</v>
      </c>
      <c r="CR24" s="11">
        <v>0</v>
      </c>
      <c r="CS24" s="11">
        <v>0</v>
      </c>
      <c r="CT24" s="11">
        <v>0</v>
      </c>
      <c r="CU24" s="11">
        <f t="shared" si="11"/>
        <v>0</v>
      </c>
      <c r="CV24" s="11">
        <f t="shared" si="12"/>
        <v>0</v>
      </c>
      <c r="CW24" s="11">
        <v>0</v>
      </c>
      <c r="CX24" s="12">
        <v>0</v>
      </c>
    </row>
    <row r="25" spans="1:102" ht="31.5" x14ac:dyDescent="0.25">
      <c r="A25" s="13" t="s">
        <v>1</v>
      </c>
      <c r="B25" s="14" t="s">
        <v>1</v>
      </c>
      <c r="C25" s="14" t="s">
        <v>94</v>
      </c>
      <c r="D25" s="15" t="s">
        <v>95</v>
      </c>
      <c r="E25" s="10">
        <f t="shared" si="21"/>
        <v>8831503</v>
      </c>
      <c r="F25" s="11">
        <f t="shared" si="22"/>
        <v>8703014</v>
      </c>
      <c r="G25" s="11">
        <f t="shared" si="23"/>
        <v>8695729</v>
      </c>
      <c r="H25" s="16">
        <f>6443099+171816</f>
        <v>6614915</v>
      </c>
      <c r="I25" s="16">
        <f>1537621+42954</f>
        <v>1580575</v>
      </c>
      <c r="J25" s="11">
        <f t="shared" si="24"/>
        <v>132454</v>
      </c>
      <c r="K25" s="16"/>
      <c r="L25" s="16"/>
      <c r="M25" s="16"/>
      <c r="N25" s="16"/>
      <c r="O25" s="16">
        <v>6836</v>
      </c>
      <c r="P25" s="16">
        <f>0+125618</f>
        <v>125618</v>
      </c>
      <c r="Q25" s="11">
        <f t="shared" si="6"/>
        <v>68090</v>
      </c>
      <c r="R25" s="16"/>
      <c r="S25" s="16">
        <v>68090</v>
      </c>
      <c r="T25" s="11">
        <v>0</v>
      </c>
      <c r="U25" s="16">
        <v>50622</v>
      </c>
      <c r="V25" s="11">
        <f t="shared" si="25"/>
        <v>227251</v>
      </c>
      <c r="W25" s="16"/>
      <c r="X25" s="16">
        <v>158133</v>
      </c>
      <c r="Y25" s="16">
        <v>49070</v>
      </c>
      <c r="Z25" s="16">
        <v>11102</v>
      </c>
      <c r="AA25" s="16">
        <f>7007+1939</f>
        <v>8946</v>
      </c>
      <c r="AB25" s="16"/>
      <c r="AC25" s="16"/>
      <c r="AD25" s="16"/>
      <c r="AE25" s="11"/>
      <c r="AF25" s="11">
        <f t="shared" si="26"/>
        <v>21822</v>
      </c>
      <c r="AG25" s="11">
        <v>0</v>
      </c>
      <c r="AH25" s="16"/>
      <c r="AI25" s="16"/>
      <c r="AJ25" s="16"/>
      <c r="AK25" s="16"/>
      <c r="AL25" s="16">
        <v>0</v>
      </c>
      <c r="AM25" s="16"/>
      <c r="AN25" s="16"/>
      <c r="AO25" s="16"/>
      <c r="AP25" s="16">
        <v>14550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>
        <v>7272</v>
      </c>
      <c r="BC25" s="11">
        <f t="shared" si="27"/>
        <v>7285</v>
      </c>
      <c r="BD25" s="11">
        <f t="shared" si="28"/>
        <v>0</v>
      </c>
      <c r="BE25" s="11">
        <v>0</v>
      </c>
      <c r="BF25" s="11">
        <v>0</v>
      </c>
      <c r="BG25" s="11">
        <v>0</v>
      </c>
      <c r="BH25" s="11">
        <f t="shared" si="7"/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f t="shared" si="8"/>
        <v>0</v>
      </c>
      <c r="BO25" s="11">
        <v>0</v>
      </c>
      <c r="BP25" s="11">
        <v>0</v>
      </c>
      <c r="BQ25" s="11">
        <f t="shared" si="9"/>
        <v>7285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6">
        <v>7285</v>
      </c>
      <c r="CB25" s="11">
        <v>0</v>
      </c>
      <c r="CC25" s="11">
        <f t="shared" si="29"/>
        <v>128489</v>
      </c>
      <c r="CD25" s="11">
        <f t="shared" si="30"/>
        <v>128489</v>
      </c>
      <c r="CE25" s="11">
        <f t="shared" si="10"/>
        <v>128489</v>
      </c>
      <c r="CF25" s="11">
        <v>0</v>
      </c>
      <c r="CG25" s="16">
        <f>0+128489</f>
        <v>128489</v>
      </c>
      <c r="CH25" s="11">
        <f t="shared" si="31"/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f t="shared" si="32"/>
        <v>0</v>
      </c>
      <c r="CN25" s="11">
        <v>0</v>
      </c>
      <c r="CO25" s="11">
        <v>0</v>
      </c>
      <c r="CP25" s="11"/>
      <c r="CQ25" s="11">
        <v>0</v>
      </c>
      <c r="CR25" s="11">
        <v>0</v>
      </c>
      <c r="CS25" s="11">
        <v>0</v>
      </c>
      <c r="CT25" s="11">
        <v>0</v>
      </c>
      <c r="CU25" s="11">
        <f t="shared" si="11"/>
        <v>0</v>
      </c>
      <c r="CV25" s="11">
        <f t="shared" si="12"/>
        <v>0</v>
      </c>
      <c r="CW25" s="11">
        <v>0</v>
      </c>
      <c r="CX25" s="12">
        <v>0</v>
      </c>
    </row>
    <row r="26" spans="1:102" ht="15.75" x14ac:dyDescent="0.25">
      <c r="A26" s="13" t="s">
        <v>1</v>
      </c>
      <c r="B26" s="14" t="s">
        <v>1</v>
      </c>
      <c r="C26" s="14" t="s">
        <v>96</v>
      </c>
      <c r="D26" s="15" t="s">
        <v>97</v>
      </c>
      <c r="E26" s="10">
        <f t="shared" si="21"/>
        <v>1275978</v>
      </c>
      <c r="F26" s="11">
        <f t="shared" si="22"/>
        <v>1272081</v>
      </c>
      <c r="G26" s="11">
        <f t="shared" si="23"/>
        <v>1267480</v>
      </c>
      <c r="H26" s="16">
        <f>862618+46006</f>
        <v>908624</v>
      </c>
      <c r="I26" s="16">
        <f>203349+11502</f>
        <v>214851</v>
      </c>
      <c r="J26" s="11">
        <f t="shared" si="24"/>
        <v>97902</v>
      </c>
      <c r="K26" s="16"/>
      <c r="L26" s="16"/>
      <c r="M26" s="16"/>
      <c r="N26" s="16"/>
      <c r="O26" s="16">
        <v>60162</v>
      </c>
      <c r="P26" s="16">
        <v>37740</v>
      </c>
      <c r="Q26" s="11">
        <f t="shared" si="6"/>
        <v>0</v>
      </c>
      <c r="R26" s="16"/>
      <c r="S26" s="16"/>
      <c r="T26" s="11">
        <v>0</v>
      </c>
      <c r="U26" s="16">
        <v>23483</v>
      </c>
      <c r="V26" s="11">
        <f t="shared" si="25"/>
        <v>11802</v>
      </c>
      <c r="W26" s="16"/>
      <c r="X26" s="16">
        <v>6317</v>
      </c>
      <c r="Y26" s="16">
        <v>4346</v>
      </c>
      <c r="Z26" s="16">
        <v>1139</v>
      </c>
      <c r="AA26" s="16"/>
      <c r="AB26" s="16"/>
      <c r="AC26" s="16"/>
      <c r="AD26" s="16"/>
      <c r="AE26" s="11">
        <v>0</v>
      </c>
      <c r="AF26" s="11">
        <f t="shared" si="26"/>
        <v>10818</v>
      </c>
      <c r="AG26" s="11">
        <v>0</v>
      </c>
      <c r="AH26" s="16"/>
      <c r="AI26" s="16"/>
      <c r="AJ26" s="16"/>
      <c r="AK26" s="16"/>
      <c r="AL26" s="16">
        <v>188</v>
      </c>
      <c r="AM26" s="16"/>
      <c r="AN26" s="16"/>
      <c r="AO26" s="16"/>
      <c r="AP26" s="16">
        <v>9894</v>
      </c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>
        <v>736</v>
      </c>
      <c r="BC26" s="11">
        <f t="shared" si="27"/>
        <v>4601</v>
      </c>
      <c r="BD26" s="11">
        <f t="shared" si="28"/>
        <v>0</v>
      </c>
      <c r="BE26" s="11">
        <v>0</v>
      </c>
      <c r="BF26" s="11">
        <v>0</v>
      </c>
      <c r="BG26" s="11">
        <v>0</v>
      </c>
      <c r="BH26" s="11">
        <f t="shared" si="7"/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f t="shared" si="8"/>
        <v>0</v>
      </c>
      <c r="BO26" s="11">
        <v>0</v>
      </c>
      <c r="BP26" s="11">
        <v>0</v>
      </c>
      <c r="BQ26" s="11">
        <f t="shared" si="9"/>
        <v>4601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6">
        <v>4601</v>
      </c>
      <c r="CB26" s="11">
        <v>0</v>
      </c>
      <c r="CC26" s="11">
        <f t="shared" si="29"/>
        <v>3897</v>
      </c>
      <c r="CD26" s="11">
        <f t="shared" si="30"/>
        <v>3897</v>
      </c>
      <c r="CE26" s="11">
        <f t="shared" si="10"/>
        <v>3897</v>
      </c>
      <c r="CF26" s="11">
        <v>0</v>
      </c>
      <c r="CG26" s="16">
        <v>3897</v>
      </c>
      <c r="CH26" s="11">
        <f t="shared" si="31"/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f t="shared" si="32"/>
        <v>0</v>
      </c>
      <c r="CN26" s="11">
        <v>0</v>
      </c>
      <c r="CO26" s="11">
        <v>0</v>
      </c>
      <c r="CP26" s="11"/>
      <c r="CQ26" s="11">
        <v>0</v>
      </c>
      <c r="CR26" s="11">
        <v>0</v>
      </c>
      <c r="CS26" s="11">
        <v>0</v>
      </c>
      <c r="CT26" s="11">
        <v>0</v>
      </c>
      <c r="CU26" s="11">
        <f t="shared" si="11"/>
        <v>0</v>
      </c>
      <c r="CV26" s="11">
        <f t="shared" si="12"/>
        <v>0</v>
      </c>
      <c r="CW26" s="11">
        <v>0</v>
      </c>
      <c r="CX26" s="12">
        <v>0</v>
      </c>
    </row>
    <row r="27" spans="1:102" ht="31.5" x14ac:dyDescent="0.25">
      <c r="A27" s="13" t="s">
        <v>1</v>
      </c>
      <c r="B27" s="14" t="s">
        <v>1</v>
      </c>
      <c r="C27" s="14" t="s">
        <v>98</v>
      </c>
      <c r="D27" s="15" t="s">
        <v>99</v>
      </c>
      <c r="E27" s="10">
        <f t="shared" si="21"/>
        <v>1483975</v>
      </c>
      <c r="F27" s="11">
        <f t="shared" si="22"/>
        <v>1449730</v>
      </c>
      <c r="G27" s="11">
        <f t="shared" si="23"/>
        <v>1447046</v>
      </c>
      <c r="H27" s="16">
        <f>961267+51268+75353</f>
        <v>1087888</v>
      </c>
      <c r="I27" s="16">
        <f>229237+12817+18838</f>
        <v>260892</v>
      </c>
      <c r="J27" s="11">
        <f t="shared" si="24"/>
        <v>44731</v>
      </c>
      <c r="K27" s="16"/>
      <c r="L27" s="16"/>
      <c r="M27" s="16"/>
      <c r="N27" s="16"/>
      <c r="O27" s="16">
        <v>30394</v>
      </c>
      <c r="P27" s="16">
        <v>14337</v>
      </c>
      <c r="Q27" s="11">
        <f t="shared" si="6"/>
        <v>20913</v>
      </c>
      <c r="R27" s="16"/>
      <c r="S27" s="16">
        <v>20913</v>
      </c>
      <c r="T27" s="11">
        <v>0</v>
      </c>
      <c r="U27" s="16">
        <v>24035</v>
      </c>
      <c r="V27" s="11">
        <f t="shared" si="25"/>
        <v>0</v>
      </c>
      <c r="W27" s="16"/>
      <c r="X27" s="16"/>
      <c r="Y27" s="16"/>
      <c r="Z27" s="16"/>
      <c r="AA27" s="16"/>
      <c r="AB27" s="16"/>
      <c r="AC27" s="16"/>
      <c r="AD27" s="16"/>
      <c r="AE27" s="11">
        <v>0</v>
      </c>
      <c r="AF27" s="11">
        <f t="shared" si="26"/>
        <v>8587</v>
      </c>
      <c r="AG27" s="11">
        <v>0</v>
      </c>
      <c r="AH27" s="16"/>
      <c r="AI27" s="16"/>
      <c r="AJ27" s="16"/>
      <c r="AK27" s="16"/>
      <c r="AL27" s="16">
        <v>280</v>
      </c>
      <c r="AM27" s="16"/>
      <c r="AN27" s="16"/>
      <c r="AO27" s="16">
        <v>2636</v>
      </c>
      <c r="AP27" s="16">
        <v>5238</v>
      </c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>
        <v>433</v>
      </c>
      <c r="BC27" s="11">
        <f t="shared" si="27"/>
        <v>2684</v>
      </c>
      <c r="BD27" s="11">
        <f t="shared" si="28"/>
        <v>0</v>
      </c>
      <c r="BE27" s="11">
        <v>0</v>
      </c>
      <c r="BF27" s="11">
        <v>0</v>
      </c>
      <c r="BG27" s="11">
        <v>0</v>
      </c>
      <c r="BH27" s="11">
        <f t="shared" si="7"/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f t="shared" si="8"/>
        <v>0</v>
      </c>
      <c r="BO27" s="11">
        <v>0</v>
      </c>
      <c r="BP27" s="11">
        <v>0</v>
      </c>
      <c r="BQ27" s="11">
        <f t="shared" si="9"/>
        <v>2684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6">
        <v>2684</v>
      </c>
      <c r="CB27" s="11">
        <v>0</v>
      </c>
      <c r="CC27" s="11">
        <f t="shared" si="29"/>
        <v>34245</v>
      </c>
      <c r="CD27" s="11">
        <f t="shared" si="30"/>
        <v>34245</v>
      </c>
      <c r="CE27" s="11">
        <f t="shared" si="10"/>
        <v>34245</v>
      </c>
      <c r="CF27" s="11">
        <v>0</v>
      </c>
      <c r="CG27" s="16">
        <v>34245</v>
      </c>
      <c r="CH27" s="11">
        <f t="shared" si="31"/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f t="shared" si="32"/>
        <v>0</v>
      </c>
      <c r="CN27" s="11">
        <v>0</v>
      </c>
      <c r="CO27" s="11">
        <v>0</v>
      </c>
      <c r="CP27" s="11"/>
      <c r="CQ27" s="11">
        <v>0</v>
      </c>
      <c r="CR27" s="11">
        <v>0</v>
      </c>
      <c r="CS27" s="11">
        <v>0</v>
      </c>
      <c r="CT27" s="11">
        <v>0</v>
      </c>
      <c r="CU27" s="11">
        <f t="shared" si="11"/>
        <v>0</v>
      </c>
      <c r="CV27" s="11">
        <f t="shared" si="12"/>
        <v>0</v>
      </c>
      <c r="CW27" s="11">
        <v>0</v>
      </c>
      <c r="CX27" s="12">
        <v>0</v>
      </c>
    </row>
    <row r="28" spans="1:102" ht="31.5" x14ac:dyDescent="0.25">
      <c r="A28" s="13" t="s">
        <v>1</v>
      </c>
      <c r="B28" s="14" t="s">
        <v>1</v>
      </c>
      <c r="C28" s="14" t="s">
        <v>100</v>
      </c>
      <c r="D28" s="15" t="s">
        <v>101</v>
      </c>
      <c r="E28" s="10">
        <f t="shared" si="21"/>
        <v>158270</v>
      </c>
      <c r="F28" s="11">
        <f t="shared" si="22"/>
        <v>158270</v>
      </c>
      <c r="G28" s="11">
        <f t="shared" si="23"/>
        <v>158270</v>
      </c>
      <c r="H28" s="16">
        <f>1610574-1484266</f>
        <v>126308</v>
      </c>
      <c r="I28" s="16">
        <f>379734-347772</f>
        <v>31962</v>
      </c>
      <c r="J28" s="11">
        <f t="shared" si="24"/>
        <v>0</v>
      </c>
      <c r="K28" s="16"/>
      <c r="L28" s="16"/>
      <c r="M28" s="16"/>
      <c r="N28" s="16"/>
      <c r="O28" s="16">
        <f>81470-81470</f>
        <v>0</v>
      </c>
      <c r="P28" s="16">
        <f>48901-48901</f>
        <v>0</v>
      </c>
      <c r="Q28" s="11">
        <f t="shared" si="6"/>
        <v>0</v>
      </c>
      <c r="R28" s="16"/>
      <c r="S28" s="16"/>
      <c r="T28" s="11">
        <v>0</v>
      </c>
      <c r="U28" s="16">
        <f>39468-39468</f>
        <v>0</v>
      </c>
      <c r="V28" s="11">
        <f t="shared" si="25"/>
        <v>0</v>
      </c>
      <c r="W28" s="16"/>
      <c r="X28" s="16">
        <f>51580-51580</f>
        <v>0</v>
      </c>
      <c r="Y28" s="16">
        <f>28978-28978</f>
        <v>0</v>
      </c>
      <c r="Z28" s="16">
        <f>3257-3257</f>
        <v>0</v>
      </c>
      <c r="AA28" s="16">
        <f>505-505</f>
        <v>0</v>
      </c>
      <c r="AB28" s="16"/>
      <c r="AC28" s="16"/>
      <c r="AD28" s="16"/>
      <c r="AE28" s="11">
        <v>0</v>
      </c>
      <c r="AF28" s="11">
        <f t="shared" si="26"/>
        <v>0</v>
      </c>
      <c r="AG28" s="11">
        <v>0</v>
      </c>
      <c r="AH28" s="16"/>
      <c r="AI28" s="16">
        <f>4875-4875</f>
        <v>0</v>
      </c>
      <c r="AJ28" s="16"/>
      <c r="AK28" s="16">
        <f>1591-1591</f>
        <v>0</v>
      </c>
      <c r="AL28" s="16">
        <f>854-854</f>
        <v>0</v>
      </c>
      <c r="AM28" s="16"/>
      <c r="AN28" s="16">
        <f>700-700</f>
        <v>0</v>
      </c>
      <c r="AO28" s="16"/>
      <c r="AP28" s="16">
        <f>8730-8730</f>
        <v>0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>
        <f>8250-8250</f>
        <v>0</v>
      </c>
      <c r="BC28" s="11">
        <f t="shared" si="27"/>
        <v>0</v>
      </c>
      <c r="BD28" s="11">
        <f t="shared" si="28"/>
        <v>0</v>
      </c>
      <c r="BE28" s="11">
        <v>0</v>
      </c>
      <c r="BF28" s="11">
        <v>0</v>
      </c>
      <c r="BG28" s="11">
        <v>0</v>
      </c>
      <c r="BH28" s="11">
        <f t="shared" si="7"/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f t="shared" si="8"/>
        <v>0</v>
      </c>
      <c r="BO28" s="11">
        <v>0</v>
      </c>
      <c r="BP28" s="11">
        <v>0</v>
      </c>
      <c r="BQ28" s="11">
        <f t="shared" si="9"/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6">
        <f>3770-3770</f>
        <v>0</v>
      </c>
      <c r="CB28" s="11">
        <v>0</v>
      </c>
      <c r="CC28" s="11">
        <f t="shared" si="29"/>
        <v>0</v>
      </c>
      <c r="CD28" s="11">
        <f t="shared" si="30"/>
        <v>0</v>
      </c>
      <c r="CE28" s="11">
        <f t="shared" si="10"/>
        <v>0</v>
      </c>
      <c r="CF28" s="11">
        <v>0</v>
      </c>
      <c r="CG28" s="16">
        <f>18863-18863</f>
        <v>0</v>
      </c>
      <c r="CH28" s="11">
        <f t="shared" si="31"/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f t="shared" si="32"/>
        <v>0</v>
      </c>
      <c r="CN28" s="11">
        <v>0</v>
      </c>
      <c r="CO28" s="11">
        <v>0</v>
      </c>
      <c r="CP28" s="11"/>
      <c r="CQ28" s="11">
        <v>0</v>
      </c>
      <c r="CR28" s="11">
        <v>0</v>
      </c>
      <c r="CS28" s="11">
        <v>0</v>
      </c>
      <c r="CT28" s="11">
        <v>0</v>
      </c>
      <c r="CU28" s="11">
        <f t="shared" si="11"/>
        <v>0</v>
      </c>
      <c r="CV28" s="11">
        <f t="shared" si="12"/>
        <v>0</v>
      </c>
      <c r="CW28" s="11">
        <v>0</v>
      </c>
      <c r="CX28" s="12">
        <v>0</v>
      </c>
    </row>
    <row r="29" spans="1:102" ht="15.75" x14ac:dyDescent="0.25">
      <c r="A29" s="13" t="s">
        <v>1</v>
      </c>
      <c r="B29" s="14" t="s">
        <v>1</v>
      </c>
      <c r="C29" s="14" t="s">
        <v>102</v>
      </c>
      <c r="D29" s="15" t="s">
        <v>103</v>
      </c>
      <c r="E29" s="10">
        <f t="shared" si="21"/>
        <v>141959</v>
      </c>
      <c r="F29" s="11">
        <f t="shared" si="22"/>
        <v>141959</v>
      </c>
      <c r="G29" s="11">
        <f t="shared" si="23"/>
        <v>141959</v>
      </c>
      <c r="H29" s="16">
        <f>2051344-1941249</f>
        <v>110095</v>
      </c>
      <c r="I29" s="16">
        <f>484749-453322</f>
        <v>31427</v>
      </c>
      <c r="J29" s="11">
        <f t="shared" si="24"/>
        <v>0</v>
      </c>
      <c r="K29" s="16"/>
      <c r="L29" s="16"/>
      <c r="M29" s="16"/>
      <c r="N29" s="16"/>
      <c r="O29" s="16">
        <f>30627-30627</f>
        <v>0</v>
      </c>
      <c r="P29" s="16">
        <f>128567-128567</f>
        <v>0</v>
      </c>
      <c r="Q29" s="11">
        <f t="shared" si="6"/>
        <v>0</v>
      </c>
      <c r="R29" s="16"/>
      <c r="S29" s="16">
        <f>4920-4920</f>
        <v>0</v>
      </c>
      <c r="T29" s="11">
        <v>0</v>
      </c>
      <c r="U29" s="16">
        <f>54531-54531</f>
        <v>0</v>
      </c>
      <c r="V29" s="11">
        <f t="shared" si="25"/>
        <v>0</v>
      </c>
      <c r="W29" s="16"/>
      <c r="X29" s="16">
        <f>49386-49386</f>
        <v>0</v>
      </c>
      <c r="Y29" s="16">
        <f>64772-64772</f>
        <v>0</v>
      </c>
      <c r="Z29" s="16">
        <f>7030-7030</f>
        <v>0</v>
      </c>
      <c r="AA29" s="16">
        <f>4016-4016</f>
        <v>0</v>
      </c>
      <c r="AB29" s="16"/>
      <c r="AC29" s="16"/>
      <c r="AD29" s="16"/>
      <c r="AE29" s="11">
        <v>0</v>
      </c>
      <c r="AF29" s="11">
        <f t="shared" si="26"/>
        <v>437</v>
      </c>
      <c r="AG29" s="11">
        <v>0</v>
      </c>
      <c r="AH29" s="16"/>
      <c r="AI29" s="16">
        <f>10330-10330</f>
        <v>0</v>
      </c>
      <c r="AJ29" s="16">
        <f>251288-251288</f>
        <v>0</v>
      </c>
      <c r="AK29" s="16"/>
      <c r="AL29" s="16">
        <f>3038-3038</f>
        <v>0</v>
      </c>
      <c r="AM29" s="16"/>
      <c r="AN29" s="16">
        <f>96-96</f>
        <v>0</v>
      </c>
      <c r="AO29" s="16"/>
      <c r="AP29" s="16">
        <f>16878-16441</f>
        <v>437</v>
      </c>
      <c r="AQ29" s="16"/>
      <c r="AR29" s="16"/>
      <c r="AS29" s="16"/>
      <c r="AT29" s="16">
        <f>61654-61654</f>
        <v>0</v>
      </c>
      <c r="AU29" s="16"/>
      <c r="AV29" s="16"/>
      <c r="AW29" s="16"/>
      <c r="AX29" s="16"/>
      <c r="AY29" s="16"/>
      <c r="AZ29" s="16"/>
      <c r="BA29" s="16"/>
      <c r="BB29" s="16">
        <f>4764-4764</f>
        <v>0</v>
      </c>
      <c r="BC29" s="11">
        <f t="shared" si="27"/>
        <v>0</v>
      </c>
      <c r="BD29" s="11">
        <f t="shared" si="28"/>
        <v>0</v>
      </c>
      <c r="BE29" s="11">
        <v>0</v>
      </c>
      <c r="BF29" s="11">
        <v>0</v>
      </c>
      <c r="BG29" s="11">
        <v>0</v>
      </c>
      <c r="BH29" s="11">
        <f t="shared" si="7"/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f t="shared" si="8"/>
        <v>0</v>
      </c>
      <c r="BO29" s="11">
        <v>0</v>
      </c>
      <c r="BP29" s="11">
        <v>0</v>
      </c>
      <c r="BQ29" s="11">
        <f t="shared" si="9"/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6">
        <v>0</v>
      </c>
      <c r="CB29" s="11">
        <v>0</v>
      </c>
      <c r="CC29" s="11">
        <f t="shared" si="29"/>
        <v>0</v>
      </c>
      <c r="CD29" s="11">
        <f t="shared" si="30"/>
        <v>0</v>
      </c>
      <c r="CE29" s="11">
        <f t="shared" si="10"/>
        <v>0</v>
      </c>
      <c r="CF29" s="11">
        <v>0</v>
      </c>
      <c r="CG29" s="16">
        <f>38454-38454</f>
        <v>0</v>
      </c>
      <c r="CH29" s="11">
        <f t="shared" si="31"/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f t="shared" si="32"/>
        <v>0</v>
      </c>
      <c r="CN29" s="11">
        <v>0</v>
      </c>
      <c r="CO29" s="11">
        <v>0</v>
      </c>
      <c r="CP29" s="11"/>
      <c r="CQ29" s="11">
        <v>0</v>
      </c>
      <c r="CR29" s="11">
        <v>0</v>
      </c>
      <c r="CS29" s="11">
        <v>0</v>
      </c>
      <c r="CT29" s="11">
        <v>0</v>
      </c>
      <c r="CU29" s="11">
        <f t="shared" si="11"/>
        <v>0</v>
      </c>
      <c r="CV29" s="11">
        <f t="shared" si="12"/>
        <v>0</v>
      </c>
      <c r="CW29" s="11">
        <v>0</v>
      </c>
      <c r="CX29" s="12">
        <v>0</v>
      </c>
    </row>
    <row r="30" spans="1:102" ht="31.5" x14ac:dyDescent="0.25">
      <c r="A30" s="13" t="s">
        <v>1</v>
      </c>
      <c r="B30" s="14" t="s">
        <v>1</v>
      </c>
      <c r="C30" s="14" t="s">
        <v>104</v>
      </c>
      <c r="D30" s="15" t="s">
        <v>105</v>
      </c>
      <c r="E30" s="10">
        <f t="shared" si="21"/>
        <v>2110282</v>
      </c>
      <c r="F30" s="11">
        <f t="shared" si="22"/>
        <v>2097344</v>
      </c>
      <c r="G30" s="11">
        <f t="shared" si="23"/>
        <v>2092743</v>
      </c>
      <c r="H30" s="16">
        <f>1384209+84392+73825</f>
        <v>1542426</v>
      </c>
      <c r="I30" s="16">
        <f>333920+15608+18456</f>
        <v>367984</v>
      </c>
      <c r="J30" s="11">
        <f t="shared" si="24"/>
        <v>26206</v>
      </c>
      <c r="K30" s="16"/>
      <c r="L30" s="16"/>
      <c r="M30" s="16"/>
      <c r="N30" s="16"/>
      <c r="O30" s="16">
        <v>20089</v>
      </c>
      <c r="P30" s="16">
        <v>6117</v>
      </c>
      <c r="Q30" s="11">
        <f t="shared" si="6"/>
        <v>0</v>
      </c>
      <c r="R30" s="16"/>
      <c r="S30" s="16"/>
      <c r="T30" s="11">
        <v>0</v>
      </c>
      <c r="U30" s="16">
        <v>28104</v>
      </c>
      <c r="V30" s="11">
        <f t="shared" si="25"/>
        <v>51556</v>
      </c>
      <c r="W30" s="16"/>
      <c r="X30" s="16">
        <f>27522+10188</f>
        <v>37710</v>
      </c>
      <c r="Y30" s="16">
        <v>8274</v>
      </c>
      <c r="Z30" s="16">
        <v>2953</v>
      </c>
      <c r="AA30" s="16">
        <v>2619</v>
      </c>
      <c r="AB30" s="16"/>
      <c r="AC30" s="16"/>
      <c r="AD30" s="16"/>
      <c r="AE30" s="11">
        <v>0</v>
      </c>
      <c r="AF30" s="11">
        <f t="shared" si="26"/>
        <v>76467</v>
      </c>
      <c r="AG30" s="11">
        <v>0</v>
      </c>
      <c r="AH30" s="16"/>
      <c r="AI30" s="16">
        <v>2555</v>
      </c>
      <c r="AJ30" s="16"/>
      <c r="AK30" s="16"/>
      <c r="AL30" s="16">
        <v>224</v>
      </c>
      <c r="AM30" s="16"/>
      <c r="AN30" s="16">
        <v>463</v>
      </c>
      <c r="AO30" s="16"/>
      <c r="AP30" s="16">
        <v>8730</v>
      </c>
      <c r="AQ30" s="16"/>
      <c r="AR30" s="16"/>
      <c r="AS30" s="16"/>
      <c r="AT30" s="16">
        <v>64495</v>
      </c>
      <c r="AU30" s="16"/>
      <c r="AV30" s="16"/>
      <c r="AW30" s="16"/>
      <c r="AX30" s="16"/>
      <c r="AY30" s="16"/>
      <c r="AZ30" s="16"/>
      <c r="BA30" s="16"/>
      <c r="BB30" s="16"/>
      <c r="BC30" s="11">
        <f t="shared" si="27"/>
        <v>4601</v>
      </c>
      <c r="BD30" s="11">
        <f t="shared" si="28"/>
        <v>0</v>
      </c>
      <c r="BE30" s="11">
        <v>0</v>
      </c>
      <c r="BF30" s="11">
        <v>0</v>
      </c>
      <c r="BG30" s="11">
        <v>0</v>
      </c>
      <c r="BH30" s="11">
        <f t="shared" si="7"/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f t="shared" si="8"/>
        <v>0</v>
      </c>
      <c r="BO30" s="11">
        <v>0</v>
      </c>
      <c r="BP30" s="11">
        <v>0</v>
      </c>
      <c r="BQ30" s="11">
        <f t="shared" si="9"/>
        <v>4601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6">
        <v>4601</v>
      </c>
      <c r="CB30" s="11">
        <v>0</v>
      </c>
      <c r="CC30" s="11">
        <f t="shared" si="29"/>
        <v>12938</v>
      </c>
      <c r="CD30" s="11">
        <f t="shared" si="30"/>
        <v>12938</v>
      </c>
      <c r="CE30" s="11">
        <f t="shared" si="10"/>
        <v>12938</v>
      </c>
      <c r="CF30" s="11">
        <v>0</v>
      </c>
      <c r="CG30" s="16">
        <v>12938</v>
      </c>
      <c r="CH30" s="11">
        <f t="shared" si="31"/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f t="shared" si="32"/>
        <v>0</v>
      </c>
      <c r="CN30" s="11">
        <v>0</v>
      </c>
      <c r="CO30" s="11">
        <v>0</v>
      </c>
      <c r="CP30" s="11"/>
      <c r="CQ30" s="11">
        <v>0</v>
      </c>
      <c r="CR30" s="11">
        <v>0</v>
      </c>
      <c r="CS30" s="11">
        <v>0</v>
      </c>
      <c r="CT30" s="11">
        <v>0</v>
      </c>
      <c r="CU30" s="11">
        <f t="shared" si="11"/>
        <v>0</v>
      </c>
      <c r="CV30" s="11">
        <f t="shared" si="12"/>
        <v>0</v>
      </c>
      <c r="CW30" s="11">
        <v>0</v>
      </c>
      <c r="CX30" s="12">
        <v>0</v>
      </c>
    </row>
    <row r="31" spans="1:102" ht="31.5" x14ac:dyDescent="0.25">
      <c r="A31" s="13" t="s">
        <v>1</v>
      </c>
      <c r="B31" s="14" t="s">
        <v>1</v>
      </c>
      <c r="C31" s="14" t="s">
        <v>106</v>
      </c>
      <c r="D31" s="15" t="s">
        <v>607</v>
      </c>
      <c r="E31" s="10">
        <f t="shared" si="21"/>
        <v>3925215</v>
      </c>
      <c r="F31" s="11">
        <f t="shared" si="22"/>
        <v>3914990</v>
      </c>
      <c r="G31" s="11">
        <f t="shared" si="23"/>
        <v>3914990</v>
      </c>
      <c r="H31" s="16">
        <f>2770353+147752</f>
        <v>2918105</v>
      </c>
      <c r="I31" s="16">
        <f>679995+36938</f>
        <v>716933</v>
      </c>
      <c r="J31" s="11">
        <f t="shared" si="24"/>
        <v>148199</v>
      </c>
      <c r="K31" s="16"/>
      <c r="L31" s="16"/>
      <c r="M31" s="16"/>
      <c r="N31" s="16"/>
      <c r="O31" s="16">
        <v>131270</v>
      </c>
      <c r="P31" s="16">
        <f>5494+11435</f>
        <v>16929</v>
      </c>
      <c r="Q31" s="11">
        <f t="shared" si="6"/>
        <v>0</v>
      </c>
      <c r="R31" s="16"/>
      <c r="S31" s="16"/>
      <c r="T31" s="11">
        <v>0</v>
      </c>
      <c r="U31" s="16">
        <v>55402</v>
      </c>
      <c r="V31" s="11">
        <f t="shared" si="25"/>
        <v>46623</v>
      </c>
      <c r="W31" s="16"/>
      <c r="X31" s="16">
        <f>2683+20404</f>
        <v>23087</v>
      </c>
      <c r="Y31" s="16">
        <f>15859+5794</f>
        <v>21653</v>
      </c>
      <c r="Z31" s="16">
        <f>1310+452</f>
        <v>1762</v>
      </c>
      <c r="AA31" s="16">
        <f>2119+76-2074</f>
        <v>121</v>
      </c>
      <c r="AB31" s="16"/>
      <c r="AC31" s="16"/>
      <c r="AD31" s="16"/>
      <c r="AE31" s="11">
        <v>0</v>
      </c>
      <c r="AF31" s="11">
        <f t="shared" si="26"/>
        <v>29728</v>
      </c>
      <c r="AG31" s="11">
        <v>0</v>
      </c>
      <c r="AH31" s="16"/>
      <c r="AI31" s="16">
        <f>0+1542</f>
        <v>1542</v>
      </c>
      <c r="AJ31" s="16">
        <f>0+6000</f>
        <v>6000</v>
      </c>
      <c r="AK31" s="16"/>
      <c r="AL31" s="16"/>
      <c r="AM31" s="16"/>
      <c r="AN31" s="16">
        <f>0+9000</f>
        <v>9000</v>
      </c>
      <c r="AO31" s="16"/>
      <c r="AP31" s="16">
        <v>8730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>
        <v>4456</v>
      </c>
      <c r="BC31" s="11">
        <f t="shared" si="27"/>
        <v>0</v>
      </c>
      <c r="BD31" s="11">
        <f t="shared" si="28"/>
        <v>0</v>
      </c>
      <c r="BE31" s="11">
        <v>0</v>
      </c>
      <c r="BF31" s="11">
        <v>0</v>
      </c>
      <c r="BG31" s="11">
        <v>0</v>
      </c>
      <c r="BH31" s="11">
        <f t="shared" si="7"/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f t="shared" si="8"/>
        <v>0</v>
      </c>
      <c r="BO31" s="11">
        <v>0</v>
      </c>
      <c r="BP31" s="11">
        <v>0</v>
      </c>
      <c r="BQ31" s="11">
        <f t="shared" si="9"/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6">
        <v>0</v>
      </c>
      <c r="CB31" s="11">
        <v>0</v>
      </c>
      <c r="CC31" s="11">
        <f t="shared" si="29"/>
        <v>10225</v>
      </c>
      <c r="CD31" s="11">
        <f t="shared" si="30"/>
        <v>10225</v>
      </c>
      <c r="CE31" s="11">
        <f t="shared" si="10"/>
        <v>10225</v>
      </c>
      <c r="CF31" s="11">
        <v>0</v>
      </c>
      <c r="CG31" s="16">
        <f>0+10225</f>
        <v>10225</v>
      </c>
      <c r="CH31" s="11">
        <f t="shared" si="31"/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f t="shared" si="32"/>
        <v>0</v>
      </c>
      <c r="CN31" s="11">
        <v>0</v>
      </c>
      <c r="CO31" s="11">
        <v>0</v>
      </c>
      <c r="CP31" s="11"/>
      <c r="CQ31" s="11">
        <v>0</v>
      </c>
      <c r="CR31" s="11">
        <v>0</v>
      </c>
      <c r="CS31" s="11">
        <v>0</v>
      </c>
      <c r="CT31" s="11">
        <v>0</v>
      </c>
      <c r="CU31" s="11">
        <f t="shared" si="11"/>
        <v>0</v>
      </c>
      <c r="CV31" s="11">
        <f t="shared" si="12"/>
        <v>0</v>
      </c>
      <c r="CW31" s="11">
        <v>0</v>
      </c>
      <c r="CX31" s="12">
        <v>0</v>
      </c>
    </row>
    <row r="32" spans="1:102" ht="31.5" x14ac:dyDescent="0.25">
      <c r="A32" s="13" t="s">
        <v>1</v>
      </c>
      <c r="B32" s="14" t="s">
        <v>1</v>
      </c>
      <c r="C32" s="14" t="s">
        <v>107</v>
      </c>
      <c r="D32" s="15" t="s">
        <v>108</v>
      </c>
      <c r="E32" s="10">
        <f t="shared" si="21"/>
        <v>1006501</v>
      </c>
      <c r="F32" s="11">
        <f t="shared" si="22"/>
        <v>972313</v>
      </c>
      <c r="G32" s="11">
        <f t="shared" si="23"/>
        <v>967712</v>
      </c>
      <c r="H32" s="16">
        <f>645800+34443</f>
        <v>680243</v>
      </c>
      <c r="I32" s="16">
        <f>152523+8611</f>
        <v>161134</v>
      </c>
      <c r="J32" s="11">
        <f t="shared" si="24"/>
        <v>82800</v>
      </c>
      <c r="K32" s="16"/>
      <c r="L32" s="16"/>
      <c r="M32" s="16"/>
      <c r="N32" s="16"/>
      <c r="O32" s="16">
        <v>69300</v>
      </c>
      <c r="P32" s="16">
        <v>13500</v>
      </c>
      <c r="Q32" s="11">
        <f t="shared" si="6"/>
        <v>0</v>
      </c>
      <c r="R32" s="16"/>
      <c r="S32" s="16"/>
      <c r="T32" s="11">
        <v>0</v>
      </c>
      <c r="U32" s="16">
        <f>22942-8722</f>
        <v>14220</v>
      </c>
      <c r="V32" s="11">
        <f t="shared" si="25"/>
        <v>19599</v>
      </c>
      <c r="W32" s="16"/>
      <c r="X32" s="16">
        <f>5240+5293</f>
        <v>10533</v>
      </c>
      <c r="Y32" s="16">
        <f>3670+3551</f>
        <v>7221</v>
      </c>
      <c r="Z32" s="16">
        <f>742+578</f>
        <v>1320</v>
      </c>
      <c r="AA32" s="16">
        <v>525</v>
      </c>
      <c r="AB32" s="16"/>
      <c r="AC32" s="16"/>
      <c r="AD32" s="16"/>
      <c r="AE32" s="11">
        <v>0</v>
      </c>
      <c r="AF32" s="11">
        <f t="shared" si="26"/>
        <v>9716</v>
      </c>
      <c r="AG32" s="11">
        <v>0</v>
      </c>
      <c r="AH32" s="16"/>
      <c r="AI32" s="16">
        <v>705</v>
      </c>
      <c r="AJ32" s="16"/>
      <c r="AK32" s="16"/>
      <c r="AL32" s="16">
        <v>281</v>
      </c>
      <c r="AM32" s="16"/>
      <c r="AN32" s="16"/>
      <c r="AO32" s="16"/>
      <c r="AP32" s="16">
        <v>8730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1">
        <f t="shared" si="27"/>
        <v>4601</v>
      </c>
      <c r="BD32" s="11">
        <f t="shared" si="28"/>
        <v>0</v>
      </c>
      <c r="BE32" s="11">
        <v>0</v>
      </c>
      <c r="BF32" s="11">
        <v>0</v>
      </c>
      <c r="BG32" s="11">
        <v>0</v>
      </c>
      <c r="BH32" s="11">
        <f t="shared" si="7"/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f t="shared" si="8"/>
        <v>0</v>
      </c>
      <c r="BO32" s="11">
        <v>0</v>
      </c>
      <c r="BP32" s="11">
        <v>0</v>
      </c>
      <c r="BQ32" s="11">
        <f t="shared" si="9"/>
        <v>4601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6">
        <v>4601</v>
      </c>
      <c r="CB32" s="11">
        <v>0</v>
      </c>
      <c r="CC32" s="11">
        <f t="shared" si="29"/>
        <v>34188</v>
      </c>
      <c r="CD32" s="11">
        <f t="shared" si="30"/>
        <v>34188</v>
      </c>
      <c r="CE32" s="11">
        <f t="shared" si="10"/>
        <v>34188</v>
      </c>
      <c r="CF32" s="11">
        <v>0</v>
      </c>
      <c r="CG32" s="16">
        <v>34188</v>
      </c>
      <c r="CH32" s="11">
        <f t="shared" si="31"/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f t="shared" si="32"/>
        <v>0</v>
      </c>
      <c r="CN32" s="11">
        <v>0</v>
      </c>
      <c r="CO32" s="11">
        <v>0</v>
      </c>
      <c r="CP32" s="11"/>
      <c r="CQ32" s="11">
        <v>0</v>
      </c>
      <c r="CR32" s="11">
        <v>0</v>
      </c>
      <c r="CS32" s="11">
        <v>0</v>
      </c>
      <c r="CT32" s="11">
        <v>0</v>
      </c>
      <c r="CU32" s="11">
        <f t="shared" si="11"/>
        <v>0</v>
      </c>
      <c r="CV32" s="11">
        <f t="shared" si="12"/>
        <v>0</v>
      </c>
      <c r="CW32" s="11">
        <v>0</v>
      </c>
      <c r="CX32" s="12">
        <v>0</v>
      </c>
    </row>
    <row r="33" spans="1:102" ht="15.75" x14ac:dyDescent="0.25">
      <c r="A33" s="13" t="s">
        <v>1</v>
      </c>
      <c r="B33" s="14" t="s">
        <v>1</v>
      </c>
      <c r="C33" s="14" t="s">
        <v>109</v>
      </c>
      <c r="D33" s="15" t="s">
        <v>110</v>
      </c>
      <c r="E33" s="10">
        <f t="shared" si="21"/>
        <v>14880843</v>
      </c>
      <c r="F33" s="11">
        <f t="shared" si="22"/>
        <v>13238443</v>
      </c>
      <c r="G33" s="11">
        <f t="shared" si="23"/>
        <v>13032141</v>
      </c>
      <c r="H33" s="16">
        <f>9010147+240271</f>
        <v>9250418</v>
      </c>
      <c r="I33" s="16">
        <f>1509958+60068</f>
        <v>1570026</v>
      </c>
      <c r="J33" s="11">
        <f t="shared" si="24"/>
        <v>682899</v>
      </c>
      <c r="K33" s="16"/>
      <c r="L33" s="16">
        <v>122719</v>
      </c>
      <c r="M33" s="16"/>
      <c r="N33" s="16"/>
      <c r="O33" s="16">
        <v>218979</v>
      </c>
      <c r="P33" s="16">
        <v>341201</v>
      </c>
      <c r="Q33" s="11">
        <f t="shared" si="6"/>
        <v>29218</v>
      </c>
      <c r="R33" s="16"/>
      <c r="S33" s="16">
        <v>29218</v>
      </c>
      <c r="T33" s="11">
        <v>0</v>
      </c>
      <c r="U33" s="16">
        <v>628344</v>
      </c>
      <c r="V33" s="11">
        <f t="shared" si="25"/>
        <v>396281</v>
      </c>
      <c r="W33" s="16">
        <v>101992</v>
      </c>
      <c r="X33" s="16"/>
      <c r="Y33" s="16">
        <v>190845</v>
      </c>
      <c r="Z33" s="16">
        <v>21687</v>
      </c>
      <c r="AA33" s="16">
        <v>13352</v>
      </c>
      <c r="AB33" s="16">
        <v>52968</v>
      </c>
      <c r="AC33" s="16"/>
      <c r="AD33" s="16">
        <f>13457+1186+794</f>
        <v>15437</v>
      </c>
      <c r="AE33" s="11"/>
      <c r="AF33" s="11">
        <f t="shared" si="26"/>
        <v>474955</v>
      </c>
      <c r="AG33" s="11">
        <v>0</v>
      </c>
      <c r="AH33" s="16"/>
      <c r="AI33" s="16">
        <v>19531</v>
      </c>
      <c r="AJ33" s="16">
        <v>74603</v>
      </c>
      <c r="AK33" s="16"/>
      <c r="AL33" s="16">
        <v>5866</v>
      </c>
      <c r="AM33" s="16">
        <v>50000</v>
      </c>
      <c r="AN33" s="16">
        <v>335</v>
      </c>
      <c r="AO33" s="16">
        <v>50000</v>
      </c>
      <c r="AP33" s="16">
        <v>22407</v>
      </c>
      <c r="AQ33" s="16"/>
      <c r="AR33" s="16"/>
      <c r="AS33" s="16"/>
      <c r="AT33" s="16"/>
      <c r="AU33" s="16"/>
      <c r="AV33" s="16"/>
      <c r="AW33" s="16"/>
      <c r="AX33" s="16"/>
      <c r="AY33" s="16">
        <v>109048</v>
      </c>
      <c r="AZ33" s="16"/>
      <c r="BA33" s="16"/>
      <c r="BB33" s="16">
        <v>143165</v>
      </c>
      <c r="BC33" s="11">
        <f t="shared" si="27"/>
        <v>206302</v>
      </c>
      <c r="BD33" s="11">
        <f t="shared" si="28"/>
        <v>0</v>
      </c>
      <c r="BE33" s="11">
        <v>0</v>
      </c>
      <c r="BF33" s="11">
        <v>0</v>
      </c>
      <c r="BG33" s="11">
        <v>0</v>
      </c>
      <c r="BH33" s="11">
        <f t="shared" si="7"/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f t="shared" si="8"/>
        <v>0</v>
      </c>
      <c r="BO33" s="11">
        <v>0</v>
      </c>
      <c r="BP33" s="11">
        <v>0</v>
      </c>
      <c r="BQ33" s="11">
        <f t="shared" si="9"/>
        <v>206302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6">
        <v>206302</v>
      </c>
      <c r="CB33" s="11">
        <v>0</v>
      </c>
      <c r="CC33" s="11">
        <f t="shared" si="29"/>
        <v>1642400</v>
      </c>
      <c r="CD33" s="11">
        <f t="shared" si="30"/>
        <v>1642400</v>
      </c>
      <c r="CE33" s="11">
        <f t="shared" si="10"/>
        <v>180203</v>
      </c>
      <c r="CF33" s="11">
        <v>0</v>
      </c>
      <c r="CG33" s="16">
        <v>180203</v>
      </c>
      <c r="CH33" s="11">
        <f t="shared" si="31"/>
        <v>1460000</v>
      </c>
      <c r="CI33" s="11">
        <v>0</v>
      </c>
      <c r="CJ33" s="11">
        <v>0</v>
      </c>
      <c r="CK33" s="17">
        <v>1460000</v>
      </c>
      <c r="CL33" s="17"/>
      <c r="CM33" s="11">
        <f t="shared" si="32"/>
        <v>2197</v>
      </c>
      <c r="CN33" s="16"/>
      <c r="CO33" s="11">
        <v>2197</v>
      </c>
      <c r="CP33" s="11"/>
      <c r="CQ33" s="11">
        <v>0</v>
      </c>
      <c r="CR33" s="11">
        <v>0</v>
      </c>
      <c r="CS33" s="11">
        <v>0</v>
      </c>
      <c r="CT33" s="11">
        <v>0</v>
      </c>
      <c r="CU33" s="11">
        <f t="shared" si="11"/>
        <v>0</v>
      </c>
      <c r="CV33" s="11">
        <f t="shared" si="12"/>
        <v>0</v>
      </c>
      <c r="CW33" s="11">
        <v>0</v>
      </c>
      <c r="CX33" s="12">
        <v>0</v>
      </c>
    </row>
    <row r="34" spans="1:102" ht="15.75" x14ac:dyDescent="0.25">
      <c r="A34" s="13" t="s">
        <v>1</v>
      </c>
      <c r="B34" s="14" t="s">
        <v>1</v>
      </c>
      <c r="C34" s="14" t="s">
        <v>111</v>
      </c>
      <c r="D34" s="15" t="s">
        <v>112</v>
      </c>
      <c r="E34" s="10">
        <f t="shared" si="21"/>
        <v>1270595</v>
      </c>
      <c r="F34" s="11">
        <f t="shared" si="22"/>
        <v>1265200</v>
      </c>
      <c r="G34" s="11">
        <f t="shared" si="23"/>
        <v>1265200</v>
      </c>
      <c r="H34" s="16">
        <f>1572130+83847-703938</f>
        <v>952039</v>
      </c>
      <c r="I34" s="16">
        <f>377582+20962-159458</f>
        <v>239086</v>
      </c>
      <c r="J34" s="11">
        <f t="shared" si="24"/>
        <v>26062</v>
      </c>
      <c r="K34" s="16"/>
      <c r="L34" s="16"/>
      <c r="M34" s="16"/>
      <c r="N34" s="16"/>
      <c r="O34" s="16">
        <f>13820-779</f>
        <v>13041</v>
      </c>
      <c r="P34" s="16">
        <f>50460-37439</f>
        <v>13021</v>
      </c>
      <c r="Q34" s="11">
        <f t="shared" si="6"/>
        <v>0</v>
      </c>
      <c r="R34" s="16">
        <f>370-370</f>
        <v>0</v>
      </c>
      <c r="S34" s="16">
        <f>14709-14709</f>
        <v>0</v>
      </c>
      <c r="T34" s="11">
        <v>0</v>
      </c>
      <c r="U34" s="16">
        <f>56934-32141</f>
        <v>24793</v>
      </c>
      <c r="V34" s="11">
        <f t="shared" ref="V34" si="33">SUM(W34:AD34)</f>
        <v>2200</v>
      </c>
      <c r="W34" s="16">
        <f>76-76</f>
        <v>0</v>
      </c>
      <c r="X34" s="16">
        <f>10997-9189</f>
        <v>1808</v>
      </c>
      <c r="Y34" s="16">
        <f>11296-11296</f>
        <v>0</v>
      </c>
      <c r="Z34" s="16">
        <f>2383-1991</f>
        <v>392</v>
      </c>
      <c r="AA34" s="16"/>
      <c r="AB34" s="16"/>
      <c r="AC34" s="16"/>
      <c r="AD34" s="16"/>
      <c r="AE34" s="11">
        <v>0</v>
      </c>
      <c r="AF34" s="11">
        <f t="shared" si="26"/>
        <v>21020</v>
      </c>
      <c r="AG34" s="11">
        <v>0</v>
      </c>
      <c r="AH34" s="16"/>
      <c r="AI34" s="16">
        <f>5264-3232</f>
        <v>2032</v>
      </c>
      <c r="AJ34" s="16"/>
      <c r="AK34" s="16"/>
      <c r="AL34" s="16">
        <v>354</v>
      </c>
      <c r="AM34" s="16"/>
      <c r="AN34" s="16">
        <f>120-120</f>
        <v>0</v>
      </c>
      <c r="AO34" s="16">
        <f>15200-11650</f>
        <v>3550</v>
      </c>
      <c r="AP34" s="16">
        <f>5238-2622</f>
        <v>2616</v>
      </c>
      <c r="AQ34" s="16"/>
      <c r="AR34" s="16"/>
      <c r="AS34" s="16"/>
      <c r="AT34" s="16">
        <f>18257-6085</f>
        <v>12172</v>
      </c>
      <c r="AU34" s="16">
        <v>296</v>
      </c>
      <c r="AV34" s="16"/>
      <c r="AW34" s="16"/>
      <c r="AX34" s="16"/>
      <c r="AY34" s="16"/>
      <c r="AZ34" s="16"/>
      <c r="BA34" s="16"/>
      <c r="BB34" s="16">
        <f>1052-1052</f>
        <v>0</v>
      </c>
      <c r="BC34" s="11">
        <f t="shared" si="27"/>
        <v>0</v>
      </c>
      <c r="BD34" s="11">
        <f t="shared" si="28"/>
        <v>0</v>
      </c>
      <c r="BE34" s="11">
        <v>0</v>
      </c>
      <c r="BF34" s="11">
        <v>0</v>
      </c>
      <c r="BG34" s="11">
        <v>0</v>
      </c>
      <c r="BH34" s="11">
        <f t="shared" si="7"/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f t="shared" si="8"/>
        <v>0</v>
      </c>
      <c r="BO34" s="11">
        <v>0</v>
      </c>
      <c r="BP34" s="11">
        <v>0</v>
      </c>
      <c r="BQ34" s="11">
        <f t="shared" si="9"/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6">
        <f>2684-2684</f>
        <v>0</v>
      </c>
      <c r="CB34" s="11">
        <v>0</v>
      </c>
      <c r="CC34" s="11">
        <f t="shared" si="29"/>
        <v>5395</v>
      </c>
      <c r="CD34" s="11">
        <f t="shared" si="30"/>
        <v>5395</v>
      </c>
      <c r="CE34" s="11">
        <f t="shared" ref="CE34" si="34">SUM(CF34:CG34)</f>
        <v>5395</v>
      </c>
      <c r="CF34" s="11">
        <v>0</v>
      </c>
      <c r="CG34" s="16">
        <f>5955-560</f>
        <v>5395</v>
      </c>
      <c r="CH34" s="11">
        <f t="shared" si="31"/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f t="shared" si="32"/>
        <v>0</v>
      </c>
      <c r="CN34" s="11">
        <v>0</v>
      </c>
      <c r="CO34" s="11">
        <v>0</v>
      </c>
      <c r="CP34" s="11"/>
      <c r="CQ34" s="11">
        <v>0</v>
      </c>
      <c r="CR34" s="11">
        <v>0</v>
      </c>
      <c r="CS34" s="11">
        <v>0</v>
      </c>
      <c r="CT34" s="11">
        <v>0</v>
      </c>
      <c r="CU34" s="11">
        <f t="shared" ref="CU34" si="35">SUM(CV34)</f>
        <v>0</v>
      </c>
      <c r="CV34" s="11">
        <f t="shared" si="12"/>
        <v>0</v>
      </c>
      <c r="CW34" s="11">
        <v>0</v>
      </c>
      <c r="CX34" s="12">
        <v>0</v>
      </c>
    </row>
    <row r="35" spans="1:102" ht="31.5" x14ac:dyDescent="0.25">
      <c r="A35" s="13" t="s">
        <v>1</v>
      </c>
      <c r="B35" s="14" t="s">
        <v>1</v>
      </c>
      <c r="C35" s="14" t="s">
        <v>113</v>
      </c>
      <c r="D35" s="15" t="s">
        <v>114</v>
      </c>
      <c r="E35" s="10">
        <f t="shared" si="21"/>
        <v>5695559</v>
      </c>
      <c r="F35" s="11">
        <f t="shared" si="22"/>
        <v>5554533</v>
      </c>
      <c r="G35" s="11">
        <f t="shared" si="23"/>
        <v>5550763</v>
      </c>
      <c r="H35" s="16">
        <f>0+3620817</f>
        <v>3620817</v>
      </c>
      <c r="I35" s="16">
        <f>0+849920</f>
        <v>849920</v>
      </c>
      <c r="J35" s="11">
        <f t="shared" si="24"/>
        <v>351388</v>
      </c>
      <c r="K35" s="16"/>
      <c r="L35" s="16"/>
      <c r="M35" s="16"/>
      <c r="N35" s="16"/>
      <c r="O35" s="16">
        <f>0+112097</f>
        <v>112097</v>
      </c>
      <c r="P35" s="16">
        <f>0+22992+177468+38831</f>
        <v>239291</v>
      </c>
      <c r="Q35" s="11">
        <f t="shared" si="6"/>
        <v>4920</v>
      </c>
      <c r="R35" s="16"/>
      <c r="S35" s="16">
        <f>0+4920</f>
        <v>4920</v>
      </c>
      <c r="T35" s="11">
        <v>0</v>
      </c>
      <c r="U35" s="16">
        <f>0+93999</f>
        <v>93999</v>
      </c>
      <c r="V35" s="11">
        <f t="shared" si="25"/>
        <v>224284</v>
      </c>
      <c r="W35" s="16"/>
      <c r="X35" s="16">
        <f>0+100966+14760</f>
        <v>115726</v>
      </c>
      <c r="Y35" s="16">
        <f>0+93750</f>
        <v>93750</v>
      </c>
      <c r="Z35" s="16">
        <f>0+10287</f>
        <v>10287</v>
      </c>
      <c r="AA35" s="16">
        <f>0+4521</f>
        <v>4521</v>
      </c>
      <c r="AB35" s="16"/>
      <c r="AC35" s="16"/>
      <c r="AD35" s="16"/>
      <c r="AE35" s="11">
        <v>0</v>
      </c>
      <c r="AF35" s="11">
        <f t="shared" si="26"/>
        <v>405435</v>
      </c>
      <c r="AG35" s="11">
        <v>0</v>
      </c>
      <c r="AH35" s="16"/>
      <c r="AI35" s="16">
        <f>0+15205</f>
        <v>15205</v>
      </c>
      <c r="AJ35" s="16">
        <f>0+30742+251288</f>
        <v>282030</v>
      </c>
      <c r="AK35" s="16">
        <f>0+1591</f>
        <v>1591</v>
      </c>
      <c r="AL35" s="16">
        <f>0+3892</f>
        <v>3892</v>
      </c>
      <c r="AM35" s="16"/>
      <c r="AN35" s="16">
        <f>0+796</f>
        <v>796</v>
      </c>
      <c r="AO35" s="16"/>
      <c r="AP35" s="16">
        <f>0+25171</f>
        <v>25171</v>
      </c>
      <c r="AQ35" s="16">
        <f>0+82</f>
        <v>82</v>
      </c>
      <c r="AR35" s="16"/>
      <c r="AS35" s="16"/>
      <c r="AT35" s="16">
        <f>0+61654</f>
        <v>61654</v>
      </c>
      <c r="AU35" s="16"/>
      <c r="AV35" s="16"/>
      <c r="AW35" s="16"/>
      <c r="AX35" s="16"/>
      <c r="AY35" s="16"/>
      <c r="AZ35" s="16"/>
      <c r="BA35" s="16"/>
      <c r="BB35" s="16">
        <f>0+2000+13014</f>
        <v>15014</v>
      </c>
      <c r="BC35" s="11">
        <f t="shared" si="27"/>
        <v>3770</v>
      </c>
      <c r="BD35" s="11">
        <f t="shared" si="28"/>
        <v>0</v>
      </c>
      <c r="BE35" s="11">
        <v>0</v>
      </c>
      <c r="BF35" s="11">
        <v>0</v>
      </c>
      <c r="BG35" s="11">
        <v>0</v>
      </c>
      <c r="BH35" s="11">
        <f t="shared" si="7"/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f t="shared" si="8"/>
        <v>0</v>
      </c>
      <c r="BO35" s="11">
        <v>0</v>
      </c>
      <c r="BP35" s="11">
        <v>0</v>
      </c>
      <c r="BQ35" s="11">
        <f t="shared" si="9"/>
        <v>3770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6">
        <f>0+3770</f>
        <v>3770</v>
      </c>
      <c r="CB35" s="11">
        <v>0</v>
      </c>
      <c r="CC35" s="11">
        <f t="shared" si="29"/>
        <v>141026</v>
      </c>
      <c r="CD35" s="11">
        <f t="shared" si="30"/>
        <v>141026</v>
      </c>
      <c r="CE35" s="11">
        <f t="shared" si="10"/>
        <v>141026</v>
      </c>
      <c r="CF35" s="11">
        <v>0</v>
      </c>
      <c r="CG35" s="16">
        <f>0+57317+83709</f>
        <v>141026</v>
      </c>
      <c r="CH35" s="11">
        <f t="shared" si="31"/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f t="shared" si="32"/>
        <v>0</v>
      </c>
      <c r="CN35" s="11">
        <v>0</v>
      </c>
      <c r="CO35" s="11">
        <v>0</v>
      </c>
      <c r="CP35" s="11"/>
      <c r="CQ35" s="11">
        <v>0</v>
      </c>
      <c r="CR35" s="11">
        <v>0</v>
      </c>
      <c r="CS35" s="11">
        <v>0</v>
      </c>
      <c r="CT35" s="11">
        <v>0</v>
      </c>
      <c r="CU35" s="11">
        <f t="shared" si="11"/>
        <v>0</v>
      </c>
      <c r="CV35" s="11">
        <f t="shared" si="12"/>
        <v>0</v>
      </c>
      <c r="CW35" s="11">
        <v>0</v>
      </c>
      <c r="CX35" s="12">
        <v>0</v>
      </c>
    </row>
    <row r="36" spans="1:102" ht="31.5" x14ac:dyDescent="0.25">
      <c r="A36" s="7"/>
      <c r="B36" s="8" t="s">
        <v>115</v>
      </c>
      <c r="C36" s="8" t="s">
        <v>1</v>
      </c>
      <c r="D36" s="9" t="s">
        <v>116</v>
      </c>
      <c r="E36" s="10">
        <f>SUM(E37)</f>
        <v>31070170</v>
      </c>
      <c r="F36" s="11">
        <f t="shared" ref="F36:BW36" si="36">SUM(F37)</f>
        <v>30577823</v>
      </c>
      <c r="G36" s="11">
        <f t="shared" si="36"/>
        <v>28475423</v>
      </c>
      <c r="H36" s="11">
        <f t="shared" si="36"/>
        <v>21177904</v>
      </c>
      <c r="I36" s="11">
        <f t="shared" si="36"/>
        <v>2011289</v>
      </c>
      <c r="J36" s="11">
        <f t="shared" si="36"/>
        <v>1915072</v>
      </c>
      <c r="K36" s="11">
        <f t="shared" si="36"/>
        <v>0</v>
      </c>
      <c r="L36" s="11">
        <f t="shared" si="36"/>
        <v>1207905</v>
      </c>
      <c r="M36" s="11">
        <f t="shared" si="36"/>
        <v>0</v>
      </c>
      <c r="N36" s="11">
        <f t="shared" si="36"/>
        <v>0</v>
      </c>
      <c r="O36" s="11">
        <f t="shared" si="36"/>
        <v>441050</v>
      </c>
      <c r="P36" s="11">
        <f t="shared" si="36"/>
        <v>266117</v>
      </c>
      <c r="Q36" s="11">
        <f t="shared" si="36"/>
        <v>0</v>
      </c>
      <c r="R36" s="11">
        <f t="shared" si="36"/>
        <v>0</v>
      </c>
      <c r="S36" s="11">
        <f t="shared" si="36"/>
        <v>0</v>
      </c>
      <c r="T36" s="11">
        <f t="shared" si="36"/>
        <v>0</v>
      </c>
      <c r="U36" s="11">
        <f t="shared" si="36"/>
        <v>958097</v>
      </c>
      <c r="V36" s="11">
        <f t="shared" si="36"/>
        <v>746431</v>
      </c>
      <c r="W36" s="11">
        <f t="shared" si="36"/>
        <v>64827</v>
      </c>
      <c r="X36" s="11">
        <f t="shared" si="36"/>
        <v>133890</v>
      </c>
      <c r="Y36" s="11">
        <f t="shared" si="36"/>
        <v>153067</v>
      </c>
      <c r="Z36" s="11">
        <f t="shared" si="36"/>
        <v>23223</v>
      </c>
      <c r="AA36" s="11">
        <f t="shared" si="36"/>
        <v>7803</v>
      </c>
      <c r="AB36" s="11">
        <f t="shared" si="36"/>
        <v>346125</v>
      </c>
      <c r="AC36" s="11">
        <f t="shared" si="36"/>
        <v>0</v>
      </c>
      <c r="AD36" s="11">
        <f t="shared" si="36"/>
        <v>17496</v>
      </c>
      <c r="AE36" s="11">
        <f t="shared" si="36"/>
        <v>0</v>
      </c>
      <c r="AF36" s="11">
        <f t="shared" si="36"/>
        <v>1666630</v>
      </c>
      <c r="AG36" s="11">
        <f t="shared" si="36"/>
        <v>0</v>
      </c>
      <c r="AH36" s="11">
        <f t="shared" si="36"/>
        <v>0</v>
      </c>
      <c r="AI36" s="11">
        <f t="shared" si="36"/>
        <v>59933</v>
      </c>
      <c r="AJ36" s="11">
        <f t="shared" si="36"/>
        <v>65920</v>
      </c>
      <c r="AK36" s="11">
        <f t="shared" si="36"/>
        <v>0</v>
      </c>
      <c r="AL36" s="11">
        <f t="shared" si="36"/>
        <v>26586</v>
      </c>
      <c r="AM36" s="11">
        <f t="shared" si="36"/>
        <v>50000</v>
      </c>
      <c r="AN36" s="11">
        <f t="shared" si="36"/>
        <v>1694</v>
      </c>
      <c r="AO36" s="11">
        <f t="shared" si="36"/>
        <v>90548</v>
      </c>
      <c r="AP36" s="11">
        <f t="shared" si="36"/>
        <v>0</v>
      </c>
      <c r="AQ36" s="11">
        <f t="shared" si="36"/>
        <v>0</v>
      </c>
      <c r="AR36" s="11">
        <f t="shared" si="36"/>
        <v>0</v>
      </c>
      <c r="AS36" s="11">
        <f t="shared" si="36"/>
        <v>0</v>
      </c>
      <c r="AT36" s="11">
        <f t="shared" si="36"/>
        <v>74756</v>
      </c>
      <c r="AU36" s="11">
        <f t="shared" si="36"/>
        <v>0</v>
      </c>
      <c r="AV36" s="11"/>
      <c r="AW36" s="11"/>
      <c r="AX36" s="11">
        <f t="shared" si="36"/>
        <v>0</v>
      </c>
      <c r="AY36" s="11">
        <f t="shared" si="36"/>
        <v>1257940</v>
      </c>
      <c r="AZ36" s="11">
        <f t="shared" si="36"/>
        <v>0</v>
      </c>
      <c r="BA36" s="11">
        <f t="shared" si="36"/>
        <v>0</v>
      </c>
      <c r="BB36" s="11">
        <f t="shared" si="36"/>
        <v>39253</v>
      </c>
      <c r="BC36" s="11">
        <f t="shared" si="36"/>
        <v>2102400</v>
      </c>
      <c r="BD36" s="11">
        <f t="shared" si="36"/>
        <v>0</v>
      </c>
      <c r="BE36" s="11">
        <f t="shared" si="36"/>
        <v>0</v>
      </c>
      <c r="BF36" s="11">
        <f t="shared" si="36"/>
        <v>0</v>
      </c>
      <c r="BG36" s="11">
        <f t="shared" si="36"/>
        <v>0</v>
      </c>
      <c r="BH36" s="11">
        <f t="shared" si="36"/>
        <v>0</v>
      </c>
      <c r="BI36" s="11">
        <f t="shared" si="36"/>
        <v>0</v>
      </c>
      <c r="BJ36" s="11">
        <f t="shared" si="36"/>
        <v>0</v>
      </c>
      <c r="BK36" s="11">
        <f t="shared" si="36"/>
        <v>0</v>
      </c>
      <c r="BL36" s="11">
        <f t="shared" si="36"/>
        <v>0</v>
      </c>
      <c r="BM36" s="11">
        <f t="shared" si="36"/>
        <v>0</v>
      </c>
      <c r="BN36" s="11">
        <f t="shared" si="36"/>
        <v>0</v>
      </c>
      <c r="BO36" s="11">
        <f t="shared" si="36"/>
        <v>0</v>
      </c>
      <c r="BP36" s="11">
        <f t="shared" si="36"/>
        <v>0</v>
      </c>
      <c r="BQ36" s="11">
        <f t="shared" si="36"/>
        <v>2102400</v>
      </c>
      <c r="BR36" s="11">
        <f t="shared" si="36"/>
        <v>0</v>
      </c>
      <c r="BS36" s="11">
        <f t="shared" si="36"/>
        <v>0</v>
      </c>
      <c r="BT36" s="11">
        <f t="shared" si="36"/>
        <v>0</v>
      </c>
      <c r="BU36" s="11">
        <f t="shared" si="36"/>
        <v>0</v>
      </c>
      <c r="BV36" s="11">
        <f t="shared" si="36"/>
        <v>0</v>
      </c>
      <c r="BW36" s="11">
        <f t="shared" si="36"/>
        <v>0</v>
      </c>
      <c r="BX36" s="11">
        <f t="shared" ref="BX36:CX36" si="37">SUM(BX37)</f>
        <v>0</v>
      </c>
      <c r="BY36" s="11">
        <f t="shared" si="37"/>
        <v>0</v>
      </c>
      <c r="BZ36" s="11">
        <f t="shared" si="37"/>
        <v>0</v>
      </c>
      <c r="CA36" s="11">
        <f t="shared" si="37"/>
        <v>2102400</v>
      </c>
      <c r="CB36" s="11">
        <f t="shared" si="37"/>
        <v>0</v>
      </c>
      <c r="CC36" s="11">
        <f t="shared" si="37"/>
        <v>492347</v>
      </c>
      <c r="CD36" s="11">
        <f t="shared" si="37"/>
        <v>492347</v>
      </c>
      <c r="CE36" s="11">
        <f t="shared" si="37"/>
        <v>412557</v>
      </c>
      <c r="CF36" s="11">
        <f t="shared" si="37"/>
        <v>0</v>
      </c>
      <c r="CG36" s="11">
        <f t="shared" si="37"/>
        <v>412557</v>
      </c>
      <c r="CH36" s="11">
        <f t="shared" si="37"/>
        <v>0</v>
      </c>
      <c r="CI36" s="11">
        <f t="shared" si="37"/>
        <v>0</v>
      </c>
      <c r="CJ36" s="11">
        <f t="shared" si="37"/>
        <v>0</v>
      </c>
      <c r="CK36" s="11">
        <f t="shared" si="37"/>
        <v>0</v>
      </c>
      <c r="CL36" s="11">
        <f t="shared" si="37"/>
        <v>0</v>
      </c>
      <c r="CM36" s="11">
        <f t="shared" si="37"/>
        <v>79790</v>
      </c>
      <c r="CN36" s="11">
        <f t="shared" si="37"/>
        <v>0</v>
      </c>
      <c r="CO36" s="11">
        <f t="shared" si="37"/>
        <v>79790</v>
      </c>
      <c r="CP36" s="11"/>
      <c r="CQ36" s="11">
        <f t="shared" si="37"/>
        <v>0</v>
      </c>
      <c r="CR36" s="11">
        <f t="shared" si="37"/>
        <v>0</v>
      </c>
      <c r="CS36" s="11">
        <f t="shared" si="37"/>
        <v>0</v>
      </c>
      <c r="CT36" s="11">
        <f t="shared" si="37"/>
        <v>0</v>
      </c>
      <c r="CU36" s="11">
        <f t="shared" si="37"/>
        <v>0</v>
      </c>
      <c r="CV36" s="11">
        <f t="shared" si="37"/>
        <v>0</v>
      </c>
      <c r="CW36" s="11">
        <f t="shared" si="37"/>
        <v>0</v>
      </c>
      <c r="CX36" s="12">
        <f t="shared" si="37"/>
        <v>0</v>
      </c>
    </row>
    <row r="37" spans="1:102" ht="31.5" x14ac:dyDescent="0.25">
      <c r="A37" s="13" t="s">
        <v>1</v>
      </c>
      <c r="B37" s="14" t="s">
        <v>1</v>
      </c>
      <c r="C37" s="14" t="s">
        <v>109</v>
      </c>
      <c r="D37" s="15" t="s">
        <v>117</v>
      </c>
      <c r="E37" s="10">
        <f>SUM(F37+CC37+CU37)</f>
        <v>31070170</v>
      </c>
      <c r="F37" s="11">
        <f>SUM(G37+BC37)</f>
        <v>30577823</v>
      </c>
      <c r="G37" s="11">
        <f>SUM(H37+I37+J37+Q37+T37+U37+V37+AF37+AE37)</f>
        <v>28475423</v>
      </c>
      <c r="H37" s="16">
        <f>20627829+550075</f>
        <v>21177904</v>
      </c>
      <c r="I37" s="16">
        <f>1873770+137519</f>
        <v>2011289</v>
      </c>
      <c r="J37" s="11">
        <f>SUM(K37:P37)</f>
        <v>1915072</v>
      </c>
      <c r="K37" s="11">
        <v>0</v>
      </c>
      <c r="L37" s="11">
        <v>1207905</v>
      </c>
      <c r="M37" s="11">
        <v>0</v>
      </c>
      <c r="N37" s="11">
        <v>0</v>
      </c>
      <c r="O37" s="11">
        <v>441050</v>
      </c>
      <c r="P37" s="11">
        <v>266117</v>
      </c>
      <c r="Q37" s="11">
        <f t="shared" si="6"/>
        <v>0</v>
      </c>
      <c r="R37" s="11">
        <v>0</v>
      </c>
      <c r="S37" s="11"/>
      <c r="T37" s="11">
        <v>0</v>
      </c>
      <c r="U37" s="11">
        <v>958097</v>
      </c>
      <c r="V37" s="11">
        <f>SUM(W37:AD37)</f>
        <v>746431</v>
      </c>
      <c r="W37" s="16">
        <v>64827</v>
      </c>
      <c r="X37" s="16">
        <f>112344+14721+6825</f>
        <v>133890</v>
      </c>
      <c r="Y37" s="16">
        <v>153067</v>
      </c>
      <c r="Z37" s="16">
        <v>23223</v>
      </c>
      <c r="AA37" s="16">
        <v>7803</v>
      </c>
      <c r="AB37" s="16">
        <v>346125</v>
      </c>
      <c r="AC37" s="16"/>
      <c r="AD37" s="16">
        <f>10913+1049+5534</f>
        <v>17496</v>
      </c>
      <c r="AE37" s="11"/>
      <c r="AF37" s="11">
        <f>SUM(AG37:BB37)</f>
        <v>1666630</v>
      </c>
      <c r="AG37" s="11">
        <v>0</v>
      </c>
      <c r="AH37" s="11"/>
      <c r="AI37" s="16">
        <v>59933</v>
      </c>
      <c r="AJ37" s="16">
        <v>65920</v>
      </c>
      <c r="AK37" s="16"/>
      <c r="AL37" s="16">
        <v>26586</v>
      </c>
      <c r="AM37" s="16">
        <v>50000</v>
      </c>
      <c r="AN37" s="16">
        <v>1694</v>
      </c>
      <c r="AO37" s="16">
        <v>90548</v>
      </c>
      <c r="AP37" s="16"/>
      <c r="AQ37" s="16"/>
      <c r="AR37" s="16"/>
      <c r="AS37" s="16"/>
      <c r="AT37" s="16">
        <v>74756</v>
      </c>
      <c r="AU37" s="16"/>
      <c r="AV37" s="16"/>
      <c r="AW37" s="16"/>
      <c r="AX37" s="16"/>
      <c r="AY37" s="16">
        <v>1257940</v>
      </c>
      <c r="AZ37" s="16"/>
      <c r="BA37" s="16"/>
      <c r="BB37" s="16">
        <v>39253</v>
      </c>
      <c r="BC37" s="11">
        <f>SUM(BD37+BH37+BL37+BN37+BQ37)</f>
        <v>2102400</v>
      </c>
      <c r="BD37" s="11">
        <f>SUM(BE37:BG37)</f>
        <v>0</v>
      </c>
      <c r="BE37" s="11">
        <v>0</v>
      </c>
      <c r="BF37" s="11">
        <v>0</v>
      </c>
      <c r="BG37" s="11">
        <v>0</v>
      </c>
      <c r="BH37" s="11">
        <f t="shared" si="7"/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f t="shared" si="8"/>
        <v>0</v>
      </c>
      <c r="BO37" s="11">
        <v>0</v>
      </c>
      <c r="BP37" s="11">
        <v>0</v>
      </c>
      <c r="BQ37" s="11">
        <f t="shared" si="9"/>
        <v>2102400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2102400</v>
      </c>
      <c r="CB37" s="11">
        <v>0</v>
      </c>
      <c r="CC37" s="11">
        <f>SUM(CD37+CT37)</f>
        <v>492347</v>
      </c>
      <c r="CD37" s="11">
        <f>SUM(CE37+CH37+CM37)</f>
        <v>492347</v>
      </c>
      <c r="CE37" s="11">
        <f t="shared" si="10"/>
        <v>412557</v>
      </c>
      <c r="CF37" s="11">
        <v>0</v>
      </c>
      <c r="CG37" s="11">
        <v>412557</v>
      </c>
      <c r="CH37" s="11">
        <f>SUM(CI37:CL37)</f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f>SUM(CN37:CQ37)</f>
        <v>79790</v>
      </c>
      <c r="CN37" s="11"/>
      <c r="CO37" s="11">
        <v>79790</v>
      </c>
      <c r="CP37" s="11"/>
      <c r="CQ37" s="11">
        <v>0</v>
      </c>
      <c r="CR37" s="11">
        <v>0</v>
      </c>
      <c r="CS37" s="11">
        <v>0</v>
      </c>
      <c r="CT37" s="11">
        <v>0</v>
      </c>
      <c r="CU37" s="11">
        <f t="shared" si="11"/>
        <v>0</v>
      </c>
      <c r="CV37" s="11">
        <f t="shared" si="12"/>
        <v>0</v>
      </c>
      <c r="CW37" s="11">
        <v>0</v>
      </c>
      <c r="CX37" s="12">
        <v>0</v>
      </c>
    </row>
    <row r="38" spans="1:102" ht="31.5" x14ac:dyDescent="0.25">
      <c r="A38" s="7"/>
      <c r="B38" s="8" t="s">
        <v>118</v>
      </c>
      <c r="C38" s="8" t="s">
        <v>1</v>
      </c>
      <c r="D38" s="9" t="s">
        <v>119</v>
      </c>
      <c r="E38" s="10">
        <f t="shared" ref="E38:BT38" si="38">SUM(E39:E43)</f>
        <v>20854495</v>
      </c>
      <c r="F38" s="11">
        <f t="shared" si="38"/>
        <v>19254603</v>
      </c>
      <c r="G38" s="11">
        <f t="shared" si="38"/>
        <v>19254603</v>
      </c>
      <c r="H38" s="11">
        <f t="shared" si="38"/>
        <v>12487129</v>
      </c>
      <c r="I38" s="11">
        <f t="shared" si="38"/>
        <v>3035888</v>
      </c>
      <c r="J38" s="11">
        <f t="shared" si="38"/>
        <v>771564</v>
      </c>
      <c r="K38" s="11">
        <f t="shared" si="38"/>
        <v>0</v>
      </c>
      <c r="L38" s="11">
        <f t="shared" si="38"/>
        <v>0</v>
      </c>
      <c r="M38" s="11">
        <f t="shared" si="38"/>
        <v>0</v>
      </c>
      <c r="N38" s="11">
        <f t="shared" si="38"/>
        <v>0</v>
      </c>
      <c r="O38" s="11">
        <f t="shared" si="38"/>
        <v>389205</v>
      </c>
      <c r="P38" s="11">
        <f t="shared" si="38"/>
        <v>382359</v>
      </c>
      <c r="Q38" s="11">
        <f t="shared" si="38"/>
        <v>726890</v>
      </c>
      <c r="R38" s="11">
        <f t="shared" si="38"/>
        <v>3270</v>
      </c>
      <c r="S38" s="11">
        <f t="shared" si="38"/>
        <v>723620</v>
      </c>
      <c r="T38" s="11">
        <f t="shared" si="38"/>
        <v>0</v>
      </c>
      <c r="U38" s="11">
        <f t="shared" si="38"/>
        <v>360314</v>
      </c>
      <c r="V38" s="11">
        <f t="shared" si="38"/>
        <v>1001966</v>
      </c>
      <c r="W38" s="11">
        <f t="shared" si="38"/>
        <v>27038</v>
      </c>
      <c r="X38" s="11">
        <f t="shared" si="38"/>
        <v>107273</v>
      </c>
      <c r="Y38" s="11">
        <f t="shared" si="38"/>
        <v>122275</v>
      </c>
      <c r="Z38" s="11">
        <f t="shared" si="38"/>
        <v>19605</v>
      </c>
      <c r="AA38" s="11">
        <f t="shared" si="38"/>
        <v>16345</v>
      </c>
      <c r="AB38" s="11">
        <f t="shared" si="38"/>
        <v>694824</v>
      </c>
      <c r="AC38" s="11">
        <f t="shared" si="38"/>
        <v>0</v>
      </c>
      <c r="AD38" s="11">
        <f t="shared" si="38"/>
        <v>14606</v>
      </c>
      <c r="AE38" s="11">
        <f t="shared" si="38"/>
        <v>0</v>
      </c>
      <c r="AF38" s="11">
        <f t="shared" si="38"/>
        <v>870852</v>
      </c>
      <c r="AG38" s="11">
        <f t="shared" si="38"/>
        <v>0</v>
      </c>
      <c r="AH38" s="11">
        <f t="shared" si="38"/>
        <v>0</v>
      </c>
      <c r="AI38" s="11">
        <f t="shared" si="38"/>
        <v>80110</v>
      </c>
      <c r="AJ38" s="11">
        <f t="shared" si="38"/>
        <v>134488</v>
      </c>
      <c r="AK38" s="11">
        <f t="shared" si="38"/>
        <v>0</v>
      </c>
      <c r="AL38" s="11">
        <f t="shared" si="38"/>
        <v>27353</v>
      </c>
      <c r="AM38" s="11">
        <f t="shared" si="38"/>
        <v>0</v>
      </c>
      <c r="AN38" s="11">
        <f t="shared" si="38"/>
        <v>3270</v>
      </c>
      <c r="AO38" s="11">
        <f t="shared" si="38"/>
        <v>227300</v>
      </c>
      <c r="AP38" s="11">
        <f t="shared" si="38"/>
        <v>5066</v>
      </c>
      <c r="AQ38" s="11">
        <f t="shared" si="38"/>
        <v>0</v>
      </c>
      <c r="AR38" s="11">
        <f t="shared" ref="AR38" si="39">SUM(AR39:AR43)</f>
        <v>0</v>
      </c>
      <c r="AS38" s="11">
        <f t="shared" si="38"/>
        <v>0</v>
      </c>
      <c r="AT38" s="11">
        <f t="shared" si="38"/>
        <v>52721</v>
      </c>
      <c r="AU38" s="11">
        <f t="shared" si="38"/>
        <v>0</v>
      </c>
      <c r="AV38" s="11"/>
      <c r="AW38" s="11"/>
      <c r="AX38" s="11">
        <f t="shared" si="38"/>
        <v>0</v>
      </c>
      <c r="AY38" s="11">
        <f t="shared" si="38"/>
        <v>0</v>
      </c>
      <c r="AZ38" s="11">
        <f t="shared" si="38"/>
        <v>0</v>
      </c>
      <c r="BA38" s="11">
        <f t="shared" si="38"/>
        <v>188092</v>
      </c>
      <c r="BB38" s="11">
        <f t="shared" si="38"/>
        <v>152452</v>
      </c>
      <c r="BC38" s="11">
        <f t="shared" si="38"/>
        <v>0</v>
      </c>
      <c r="BD38" s="11">
        <f t="shared" si="38"/>
        <v>0</v>
      </c>
      <c r="BE38" s="11">
        <f t="shared" si="38"/>
        <v>0</v>
      </c>
      <c r="BF38" s="11">
        <f t="shared" si="38"/>
        <v>0</v>
      </c>
      <c r="BG38" s="11">
        <f t="shared" si="38"/>
        <v>0</v>
      </c>
      <c r="BH38" s="11">
        <f t="shared" si="38"/>
        <v>0</v>
      </c>
      <c r="BI38" s="11">
        <f t="shared" si="38"/>
        <v>0</v>
      </c>
      <c r="BJ38" s="11">
        <f t="shared" si="38"/>
        <v>0</v>
      </c>
      <c r="BK38" s="11">
        <f t="shared" si="38"/>
        <v>0</v>
      </c>
      <c r="BL38" s="11">
        <f t="shared" si="38"/>
        <v>0</v>
      </c>
      <c r="BM38" s="11">
        <f t="shared" si="38"/>
        <v>0</v>
      </c>
      <c r="BN38" s="11">
        <f t="shared" si="38"/>
        <v>0</v>
      </c>
      <c r="BO38" s="11">
        <f t="shared" si="38"/>
        <v>0</v>
      </c>
      <c r="BP38" s="11">
        <f t="shared" ref="BP38" si="40">SUM(BP39:BP43)</f>
        <v>0</v>
      </c>
      <c r="BQ38" s="11">
        <f t="shared" si="38"/>
        <v>0</v>
      </c>
      <c r="BR38" s="11">
        <f t="shared" si="38"/>
        <v>0</v>
      </c>
      <c r="BS38" s="11">
        <f t="shared" si="38"/>
        <v>0</v>
      </c>
      <c r="BT38" s="11">
        <f t="shared" si="38"/>
        <v>0</v>
      </c>
      <c r="BU38" s="11">
        <f t="shared" ref="BU38:CX38" si="41">SUM(BU39:BU43)</f>
        <v>0</v>
      </c>
      <c r="BV38" s="11">
        <f t="shared" si="41"/>
        <v>0</v>
      </c>
      <c r="BW38" s="11">
        <f t="shared" si="41"/>
        <v>0</v>
      </c>
      <c r="BX38" s="11">
        <f t="shared" si="41"/>
        <v>0</v>
      </c>
      <c r="BY38" s="11">
        <f t="shared" si="41"/>
        <v>0</v>
      </c>
      <c r="BZ38" s="11">
        <f t="shared" si="41"/>
        <v>0</v>
      </c>
      <c r="CA38" s="11">
        <f t="shared" si="41"/>
        <v>0</v>
      </c>
      <c r="CB38" s="11">
        <f t="shared" si="41"/>
        <v>0</v>
      </c>
      <c r="CC38" s="11">
        <f t="shared" si="41"/>
        <v>1599892</v>
      </c>
      <c r="CD38" s="11">
        <f t="shared" si="41"/>
        <v>1599892</v>
      </c>
      <c r="CE38" s="11">
        <f t="shared" si="41"/>
        <v>1599892</v>
      </c>
      <c r="CF38" s="11">
        <f t="shared" si="41"/>
        <v>0</v>
      </c>
      <c r="CG38" s="11">
        <f t="shared" si="41"/>
        <v>1599892</v>
      </c>
      <c r="CH38" s="11">
        <f t="shared" si="41"/>
        <v>0</v>
      </c>
      <c r="CI38" s="11">
        <f t="shared" si="41"/>
        <v>0</v>
      </c>
      <c r="CJ38" s="11">
        <f t="shared" si="41"/>
        <v>0</v>
      </c>
      <c r="CK38" s="11">
        <f t="shared" si="41"/>
        <v>0</v>
      </c>
      <c r="CL38" s="11">
        <f t="shared" si="41"/>
        <v>0</v>
      </c>
      <c r="CM38" s="11">
        <f t="shared" si="41"/>
        <v>0</v>
      </c>
      <c r="CN38" s="11">
        <f t="shared" si="41"/>
        <v>0</v>
      </c>
      <c r="CO38" s="11">
        <f t="shared" si="41"/>
        <v>0</v>
      </c>
      <c r="CP38" s="11"/>
      <c r="CQ38" s="11">
        <f t="shared" si="41"/>
        <v>0</v>
      </c>
      <c r="CR38" s="11">
        <f t="shared" si="41"/>
        <v>0</v>
      </c>
      <c r="CS38" s="11">
        <f t="shared" si="41"/>
        <v>0</v>
      </c>
      <c r="CT38" s="11">
        <f t="shared" si="41"/>
        <v>0</v>
      </c>
      <c r="CU38" s="11">
        <f t="shared" si="41"/>
        <v>0</v>
      </c>
      <c r="CV38" s="11">
        <f t="shared" si="41"/>
        <v>0</v>
      </c>
      <c r="CW38" s="11">
        <f t="shared" si="41"/>
        <v>0</v>
      </c>
      <c r="CX38" s="12">
        <f t="shared" si="41"/>
        <v>0</v>
      </c>
    </row>
    <row r="39" spans="1:102" ht="15.75" x14ac:dyDescent="0.25">
      <c r="A39" s="13" t="s">
        <v>1</v>
      </c>
      <c r="B39" s="14" t="s">
        <v>1</v>
      </c>
      <c r="C39" s="14" t="s">
        <v>82</v>
      </c>
      <c r="D39" s="15" t="s">
        <v>440</v>
      </c>
      <c r="E39" s="10">
        <f>SUM(F39+CC39+CU39)</f>
        <v>2164934</v>
      </c>
      <c r="F39" s="11">
        <f>SUM(G39+BC39)</f>
        <v>2037370</v>
      </c>
      <c r="G39" s="11">
        <f>SUM(H39+I39+J39+Q39+T39+U39+V39+AF39+AE39)</f>
        <v>2037370</v>
      </c>
      <c r="H39" s="16">
        <f>892764+23807</f>
        <v>916571</v>
      </c>
      <c r="I39" s="16">
        <f>223191+5952</f>
        <v>229143</v>
      </c>
      <c r="J39" s="11">
        <f>SUM(K39:P39)</f>
        <v>67743</v>
      </c>
      <c r="K39" s="11">
        <v>0</v>
      </c>
      <c r="L39" s="11">
        <v>0</v>
      </c>
      <c r="M39" s="11">
        <v>0</v>
      </c>
      <c r="N39" s="11">
        <v>0</v>
      </c>
      <c r="O39" s="16">
        <v>23105</v>
      </c>
      <c r="P39" s="16">
        <v>44638</v>
      </c>
      <c r="Q39" s="11">
        <f t="shared" si="6"/>
        <v>304220</v>
      </c>
      <c r="R39" s="16"/>
      <c r="S39" s="16">
        <v>304220</v>
      </c>
      <c r="T39" s="11">
        <v>0</v>
      </c>
      <c r="U39" s="16">
        <v>43659</v>
      </c>
      <c r="V39" s="11">
        <f t="shared" ref="V39:V43" si="42">SUM(W39:AD39)</f>
        <v>219574</v>
      </c>
      <c r="W39" s="16"/>
      <c r="X39" s="16">
        <v>369</v>
      </c>
      <c r="Y39" s="16">
        <v>4045</v>
      </c>
      <c r="Z39" s="16"/>
      <c r="AA39" s="16"/>
      <c r="AB39" s="16">
        <v>215160</v>
      </c>
      <c r="AC39" s="16"/>
      <c r="AD39" s="16"/>
      <c r="AE39" s="11">
        <v>0</v>
      </c>
      <c r="AF39" s="11">
        <f>SUM(AG39:BB39)</f>
        <v>256460</v>
      </c>
      <c r="AG39" s="11">
        <v>0</v>
      </c>
      <c r="AH39" s="11">
        <v>0</v>
      </c>
      <c r="AI39" s="16">
        <v>6269</v>
      </c>
      <c r="AJ39" s="16"/>
      <c r="AK39" s="16"/>
      <c r="AL39" s="16">
        <v>1591</v>
      </c>
      <c r="AM39" s="16"/>
      <c r="AN39" s="16"/>
      <c r="AO39" s="16">
        <v>129000</v>
      </c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>
        <v>119600</v>
      </c>
      <c r="BC39" s="11">
        <f>SUM(BD39+BH39+BL39+BN39+BQ39)</f>
        <v>0</v>
      </c>
      <c r="BD39" s="11">
        <f>SUM(BE39:BG39)</f>
        <v>0</v>
      </c>
      <c r="BE39" s="11">
        <v>0</v>
      </c>
      <c r="BF39" s="11">
        <v>0</v>
      </c>
      <c r="BG39" s="11">
        <v>0</v>
      </c>
      <c r="BH39" s="11">
        <f t="shared" si="7"/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f t="shared" si="8"/>
        <v>0</v>
      </c>
      <c r="BO39" s="11">
        <v>0</v>
      </c>
      <c r="BP39" s="11">
        <v>0</v>
      </c>
      <c r="BQ39" s="11">
        <f t="shared" si="9"/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f>SUM(CD39+CT39)</f>
        <v>127564</v>
      </c>
      <c r="CD39" s="11">
        <f>SUM(CE39+CH39+CM39)</f>
        <v>127564</v>
      </c>
      <c r="CE39" s="11">
        <f t="shared" si="10"/>
        <v>127564</v>
      </c>
      <c r="CF39" s="11">
        <v>0</v>
      </c>
      <c r="CG39" s="16">
        <v>127564</v>
      </c>
      <c r="CH39" s="11">
        <f>SUM(CI39:CL39)</f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f>SUM(CN39:CQ39)</f>
        <v>0</v>
      </c>
      <c r="CN39" s="11">
        <v>0</v>
      </c>
      <c r="CO39" s="11">
        <v>0</v>
      </c>
      <c r="CP39" s="11"/>
      <c r="CQ39" s="11">
        <v>0</v>
      </c>
      <c r="CR39" s="11">
        <v>0</v>
      </c>
      <c r="CS39" s="11">
        <v>0</v>
      </c>
      <c r="CT39" s="11">
        <v>0</v>
      </c>
      <c r="CU39" s="11">
        <f t="shared" si="11"/>
        <v>0</v>
      </c>
      <c r="CV39" s="11">
        <f t="shared" si="12"/>
        <v>0</v>
      </c>
      <c r="CW39" s="11">
        <v>0</v>
      </c>
      <c r="CX39" s="12">
        <v>0</v>
      </c>
    </row>
    <row r="40" spans="1:102" ht="31.5" x14ac:dyDescent="0.25">
      <c r="A40" s="13" t="s">
        <v>1</v>
      </c>
      <c r="B40" s="14" t="s">
        <v>1</v>
      </c>
      <c r="C40" s="14" t="s">
        <v>82</v>
      </c>
      <c r="D40" s="15" t="s">
        <v>441</v>
      </c>
      <c r="E40" s="10">
        <f>SUM(F40+CC40+CU40)</f>
        <v>2681265</v>
      </c>
      <c r="F40" s="11">
        <f>SUM(G40+BC40)</f>
        <v>2566093</v>
      </c>
      <c r="G40" s="11">
        <f>SUM(H40+I40+J40+Q40+T40+U40+V40+AF40+AE40)</f>
        <v>2566093</v>
      </c>
      <c r="H40" s="16">
        <f>1251211+33366</f>
        <v>1284577</v>
      </c>
      <c r="I40" s="16">
        <f>312803+8341</f>
        <v>321144</v>
      </c>
      <c r="J40" s="11">
        <f>SUM(K40:P40)</f>
        <v>111971</v>
      </c>
      <c r="K40" s="11">
        <v>0</v>
      </c>
      <c r="L40" s="11">
        <v>0</v>
      </c>
      <c r="M40" s="11">
        <v>0</v>
      </c>
      <c r="N40" s="11">
        <v>0</v>
      </c>
      <c r="O40" s="16">
        <v>67360</v>
      </c>
      <c r="P40" s="16">
        <v>44611</v>
      </c>
      <c r="Q40" s="11">
        <f>SUM(R40:S40)</f>
        <v>419400</v>
      </c>
      <c r="R40" s="16"/>
      <c r="S40" s="16">
        <f>419400</f>
        <v>419400</v>
      </c>
      <c r="T40" s="11">
        <v>0</v>
      </c>
      <c r="U40" s="16">
        <v>15725</v>
      </c>
      <c r="V40" s="11">
        <f t="shared" si="42"/>
        <v>330310</v>
      </c>
      <c r="W40" s="16"/>
      <c r="X40" s="16"/>
      <c r="Y40" s="16"/>
      <c r="Z40" s="16"/>
      <c r="AA40" s="16"/>
      <c r="AB40" s="16">
        <v>330310</v>
      </c>
      <c r="AC40" s="16"/>
      <c r="AD40" s="16"/>
      <c r="AE40" s="11">
        <v>0</v>
      </c>
      <c r="AF40" s="11">
        <f>SUM(AG40:BB40)</f>
        <v>82966</v>
      </c>
      <c r="AG40" s="11">
        <v>0</v>
      </c>
      <c r="AH40" s="11"/>
      <c r="AI40" s="16">
        <v>1148</v>
      </c>
      <c r="AJ40" s="16"/>
      <c r="AK40" s="16"/>
      <c r="AL40" s="16"/>
      <c r="AM40" s="16"/>
      <c r="AN40" s="16"/>
      <c r="AO40" s="16">
        <v>59750</v>
      </c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>
        <v>22068</v>
      </c>
      <c r="BC40" s="11">
        <f>SUM(BD40+BH40+BL40+BN40+BQ40)</f>
        <v>0</v>
      </c>
      <c r="BD40" s="11">
        <f>SUM(BE40:BG40)</f>
        <v>0</v>
      </c>
      <c r="BE40" s="11">
        <v>0</v>
      </c>
      <c r="BF40" s="11">
        <v>0</v>
      </c>
      <c r="BG40" s="11">
        <v>0</v>
      </c>
      <c r="BH40" s="11">
        <f>SUM(BJ40:BK40)</f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f>SUM(BO40)</f>
        <v>0</v>
      </c>
      <c r="BO40" s="11">
        <v>0</v>
      </c>
      <c r="BP40" s="11">
        <v>0</v>
      </c>
      <c r="BQ40" s="11">
        <f>SUM(BR40:CB40)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f>SUM(CD40+CT40)</f>
        <v>115172</v>
      </c>
      <c r="CD40" s="11">
        <f>SUM(CE40+CH40+CM40)</f>
        <v>115172</v>
      </c>
      <c r="CE40" s="11">
        <f>SUM(CF40:CG40)</f>
        <v>115172</v>
      </c>
      <c r="CF40" s="11">
        <v>0</v>
      </c>
      <c r="CG40" s="16">
        <v>115172</v>
      </c>
      <c r="CH40" s="11">
        <f>SUM(CI40:CL40)</f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f>SUM(CN40:CQ40)</f>
        <v>0</v>
      </c>
      <c r="CN40" s="11">
        <v>0</v>
      </c>
      <c r="CO40" s="11">
        <v>0</v>
      </c>
      <c r="CP40" s="11"/>
      <c r="CQ40" s="11">
        <v>0</v>
      </c>
      <c r="CR40" s="11">
        <v>0</v>
      </c>
      <c r="CS40" s="11">
        <v>0</v>
      </c>
      <c r="CT40" s="11">
        <v>0</v>
      </c>
      <c r="CU40" s="11">
        <f>SUM(CV40)</f>
        <v>0</v>
      </c>
      <c r="CV40" s="11">
        <f>SUM(CW40:CX40)</f>
        <v>0</v>
      </c>
      <c r="CW40" s="11">
        <v>0</v>
      </c>
      <c r="CX40" s="12">
        <v>0</v>
      </c>
    </row>
    <row r="41" spans="1:102" ht="15.75" x14ac:dyDescent="0.25">
      <c r="A41" s="13" t="s">
        <v>1</v>
      </c>
      <c r="B41" s="14" t="s">
        <v>1</v>
      </c>
      <c r="C41" s="14" t="s">
        <v>82</v>
      </c>
      <c r="D41" s="15" t="s">
        <v>442</v>
      </c>
      <c r="E41" s="10">
        <f>SUM(F41+CC41+CU41)</f>
        <v>1378031</v>
      </c>
      <c r="F41" s="11">
        <f>SUM(G41+BC41)</f>
        <v>621212</v>
      </c>
      <c r="G41" s="11">
        <f>SUM(H41+I41+J41+Q41+T41+U41+V41+AF41+AE41)</f>
        <v>621212</v>
      </c>
      <c r="H41" s="16">
        <f>362759+9674</f>
        <v>372433</v>
      </c>
      <c r="I41" s="16">
        <f>86090+2418</f>
        <v>88508</v>
      </c>
      <c r="J41" s="11">
        <f>SUM(K41:P41)</f>
        <v>41686</v>
      </c>
      <c r="K41" s="11">
        <v>0</v>
      </c>
      <c r="L41" s="11">
        <v>0</v>
      </c>
      <c r="M41" s="11">
        <v>0</v>
      </c>
      <c r="N41" s="11">
        <v>0</v>
      </c>
      <c r="O41" s="16">
        <v>23548</v>
      </c>
      <c r="P41" s="16">
        <v>18138</v>
      </c>
      <c r="Q41" s="11">
        <f t="shared" si="6"/>
        <v>3270</v>
      </c>
      <c r="R41" s="16">
        <v>3270</v>
      </c>
      <c r="S41" s="16"/>
      <c r="T41" s="11">
        <v>0</v>
      </c>
      <c r="U41" s="16">
        <v>10672</v>
      </c>
      <c r="V41" s="11">
        <f t="shared" si="42"/>
        <v>9133</v>
      </c>
      <c r="W41" s="16"/>
      <c r="X41" s="16">
        <v>1963</v>
      </c>
      <c r="Y41" s="16">
        <v>6640</v>
      </c>
      <c r="Z41" s="16">
        <v>530</v>
      </c>
      <c r="AA41" s="16"/>
      <c r="AB41" s="16"/>
      <c r="AC41" s="16"/>
      <c r="AD41" s="16"/>
      <c r="AE41" s="11">
        <v>0</v>
      </c>
      <c r="AF41" s="11">
        <f>SUM(AG41:BB41)</f>
        <v>95510</v>
      </c>
      <c r="AG41" s="11">
        <v>0</v>
      </c>
      <c r="AH41" s="11"/>
      <c r="AI41" s="16">
        <v>3700</v>
      </c>
      <c r="AJ41" s="16"/>
      <c r="AK41" s="16"/>
      <c r="AL41" s="16"/>
      <c r="AM41" s="16"/>
      <c r="AN41" s="16">
        <v>3270</v>
      </c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>
        <v>88540</v>
      </c>
      <c r="BB41" s="16"/>
      <c r="BC41" s="11">
        <f>SUM(BD41+BH41+BL41+BN41+BQ41)</f>
        <v>0</v>
      </c>
      <c r="BD41" s="11">
        <f>SUM(BE41:BG41)</f>
        <v>0</v>
      </c>
      <c r="BE41" s="11">
        <v>0</v>
      </c>
      <c r="BF41" s="11">
        <v>0</v>
      </c>
      <c r="BG41" s="11">
        <v>0</v>
      </c>
      <c r="BH41" s="11">
        <f t="shared" si="7"/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f t="shared" si="8"/>
        <v>0</v>
      </c>
      <c r="BO41" s="11">
        <v>0</v>
      </c>
      <c r="BP41" s="11">
        <v>0</v>
      </c>
      <c r="BQ41" s="11">
        <f t="shared" si="9"/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f>SUM(CD41+CT41)</f>
        <v>756819</v>
      </c>
      <c r="CD41" s="11">
        <f>SUM(CE41+CH41+CM41)</f>
        <v>756819</v>
      </c>
      <c r="CE41" s="11">
        <f t="shared" si="10"/>
        <v>756819</v>
      </c>
      <c r="CF41" s="11">
        <v>0</v>
      </c>
      <c r="CG41" s="16">
        <v>756819</v>
      </c>
      <c r="CH41" s="11">
        <f>SUM(CI41:CL41)</f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f>SUM(CN41:CQ41)</f>
        <v>0</v>
      </c>
      <c r="CN41" s="11">
        <v>0</v>
      </c>
      <c r="CO41" s="11">
        <v>0</v>
      </c>
      <c r="CP41" s="11"/>
      <c r="CQ41" s="11">
        <v>0</v>
      </c>
      <c r="CR41" s="11">
        <v>0</v>
      </c>
      <c r="CS41" s="11">
        <v>0</v>
      </c>
      <c r="CT41" s="11">
        <v>0</v>
      </c>
      <c r="CU41" s="11">
        <f t="shared" si="11"/>
        <v>0</v>
      </c>
      <c r="CV41" s="11">
        <f t="shared" si="12"/>
        <v>0</v>
      </c>
      <c r="CW41" s="11">
        <v>0</v>
      </c>
      <c r="CX41" s="12">
        <v>0</v>
      </c>
    </row>
    <row r="42" spans="1:102" ht="15.75" x14ac:dyDescent="0.25">
      <c r="A42" s="13" t="s">
        <v>1</v>
      </c>
      <c r="B42" s="14" t="s">
        <v>1</v>
      </c>
      <c r="C42" s="14" t="s">
        <v>90</v>
      </c>
      <c r="D42" s="15" t="s">
        <v>120</v>
      </c>
      <c r="E42" s="10">
        <f>SUM(F42+CC42+CU42)</f>
        <v>9257108</v>
      </c>
      <c r="F42" s="11">
        <f>SUM(G42+BC42)</f>
        <v>8731489</v>
      </c>
      <c r="G42" s="11">
        <f>SUM(H42+I42+J42+Q42+T42+U42+V42+AF42+AE42)</f>
        <v>8731489</v>
      </c>
      <c r="H42" s="16">
        <f>5957760+158874+164184</f>
        <v>6280818</v>
      </c>
      <c r="I42" s="16">
        <f>1423100+39718+50000</f>
        <v>1512818</v>
      </c>
      <c r="J42" s="11">
        <f>SUM(K42:P42)</f>
        <v>266770</v>
      </c>
      <c r="K42" s="11">
        <v>0</v>
      </c>
      <c r="L42" s="11">
        <f>90519-90519</f>
        <v>0</v>
      </c>
      <c r="M42" s="11">
        <v>0</v>
      </c>
      <c r="N42" s="11">
        <v>0</v>
      </c>
      <c r="O42" s="16">
        <v>87561</v>
      </c>
      <c r="P42" s="16">
        <f>159432+19777</f>
        <v>179209</v>
      </c>
      <c r="Q42" s="11">
        <f t="shared" si="6"/>
        <v>0</v>
      </c>
      <c r="R42" s="16"/>
      <c r="S42" s="16"/>
      <c r="T42" s="11">
        <v>0</v>
      </c>
      <c r="U42" s="16">
        <f>223707-84000</f>
        <v>139707</v>
      </c>
      <c r="V42" s="11">
        <f t="shared" si="42"/>
        <v>256364</v>
      </c>
      <c r="W42" s="16">
        <v>27038</v>
      </c>
      <c r="X42" s="16">
        <f>48849+11795</f>
        <v>60644</v>
      </c>
      <c r="Y42" s="16">
        <f>69071+25348</f>
        <v>94419</v>
      </c>
      <c r="Z42" s="16">
        <f>11224+2886+1099</f>
        <v>15209</v>
      </c>
      <c r="AA42" s="16">
        <v>6318</v>
      </c>
      <c r="AB42" s="16">
        <v>39448</v>
      </c>
      <c r="AC42" s="16"/>
      <c r="AD42" s="16">
        <f>9111+2924+1253</f>
        <v>13288</v>
      </c>
      <c r="AE42" s="11"/>
      <c r="AF42" s="11">
        <f>SUM(AG42:BB42)</f>
        <v>275012</v>
      </c>
      <c r="AG42" s="11">
        <v>0</v>
      </c>
      <c r="AH42" s="11"/>
      <c r="AI42" s="16">
        <f>51568+2451</f>
        <v>54019</v>
      </c>
      <c r="AJ42" s="16">
        <f>157261-22773</f>
        <v>134488</v>
      </c>
      <c r="AK42" s="16"/>
      <c r="AL42" s="16">
        <v>13415</v>
      </c>
      <c r="AM42" s="16"/>
      <c r="AN42" s="16"/>
      <c r="AO42" s="16">
        <v>38550</v>
      </c>
      <c r="AP42" s="16">
        <f>7566-2500</f>
        <v>5066</v>
      </c>
      <c r="AQ42" s="16"/>
      <c r="AR42" s="16"/>
      <c r="AS42" s="16"/>
      <c r="AT42" s="16">
        <f>109198-80000</f>
        <v>29198</v>
      </c>
      <c r="AU42" s="16"/>
      <c r="AV42" s="16"/>
      <c r="AW42" s="16"/>
      <c r="AX42" s="16"/>
      <c r="AY42" s="16"/>
      <c r="AZ42" s="16"/>
      <c r="BA42" s="16"/>
      <c r="BB42" s="16">
        <v>276</v>
      </c>
      <c r="BC42" s="11">
        <f>SUM(BD42+BH42+BL42+BM42+BN42+BQ42)</f>
        <v>0</v>
      </c>
      <c r="BD42" s="11">
        <f>SUM(BE42:BG42)</f>
        <v>0</v>
      </c>
      <c r="BE42" s="11">
        <v>0</v>
      </c>
      <c r="BF42" s="11">
        <v>0</v>
      </c>
      <c r="BG42" s="11">
        <v>0</v>
      </c>
      <c r="BH42" s="11">
        <f t="shared" si="7"/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f t="shared" si="8"/>
        <v>0</v>
      </c>
      <c r="BO42" s="11">
        <v>0</v>
      </c>
      <c r="BP42" s="11">
        <v>0</v>
      </c>
      <c r="BQ42" s="11">
        <f t="shared" si="9"/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f>2684-2684</f>
        <v>0</v>
      </c>
      <c r="CB42" s="11">
        <v>0</v>
      </c>
      <c r="CC42" s="11">
        <f>SUM(CD42+CT42)</f>
        <v>525619</v>
      </c>
      <c r="CD42" s="11">
        <f>SUM(CE42+CH42+CM42)</f>
        <v>525619</v>
      </c>
      <c r="CE42" s="11">
        <f t="shared" si="10"/>
        <v>525619</v>
      </c>
      <c r="CF42" s="11">
        <v>0</v>
      </c>
      <c r="CG42" s="16">
        <f>540619-15000</f>
        <v>525619</v>
      </c>
      <c r="CH42" s="11">
        <f>SUM(CI42:CL42)</f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f>SUM(CN42:CQ42)</f>
        <v>0</v>
      </c>
      <c r="CN42" s="11">
        <v>0</v>
      </c>
      <c r="CO42" s="11">
        <v>0</v>
      </c>
      <c r="CP42" s="11"/>
      <c r="CQ42" s="11">
        <v>0</v>
      </c>
      <c r="CR42" s="11">
        <v>0</v>
      </c>
      <c r="CS42" s="11">
        <v>0</v>
      </c>
      <c r="CT42" s="11">
        <v>0</v>
      </c>
      <c r="CU42" s="11">
        <f t="shared" si="11"/>
        <v>0</v>
      </c>
      <c r="CV42" s="11">
        <f t="shared" si="12"/>
        <v>0</v>
      </c>
      <c r="CW42" s="11">
        <v>0</v>
      </c>
      <c r="CX42" s="12">
        <v>0</v>
      </c>
    </row>
    <row r="43" spans="1:102" ht="31.5" x14ac:dyDescent="0.25">
      <c r="A43" s="13" t="s">
        <v>1</v>
      </c>
      <c r="B43" s="14" t="s">
        <v>1</v>
      </c>
      <c r="C43" s="14" t="s">
        <v>94</v>
      </c>
      <c r="D43" s="15" t="s">
        <v>121</v>
      </c>
      <c r="E43" s="10">
        <f>SUM(F43+CC43+CU43)</f>
        <v>5373157</v>
      </c>
      <c r="F43" s="11">
        <f>SUM(G43+BC43)</f>
        <v>5298439</v>
      </c>
      <c r="G43" s="11">
        <f>SUM(H43+I43+J43+Q43+T43+U43+V43+AF43+AE43)</f>
        <v>5298439</v>
      </c>
      <c r="H43" s="16">
        <f>3538373+94357</f>
        <v>3632730</v>
      </c>
      <c r="I43" s="16">
        <f>860686+23589</f>
        <v>884275</v>
      </c>
      <c r="J43" s="11">
        <f>SUM(K43:P43)</f>
        <v>283394</v>
      </c>
      <c r="K43" s="11">
        <v>0</v>
      </c>
      <c r="L43" s="11">
        <v>0</v>
      </c>
      <c r="M43" s="11">
        <v>0</v>
      </c>
      <c r="N43" s="11">
        <v>0</v>
      </c>
      <c r="O43" s="16">
        <f>135823+21808+30000</f>
        <v>187631</v>
      </c>
      <c r="P43" s="16">
        <f>74452+21311</f>
        <v>95763</v>
      </c>
      <c r="Q43" s="11">
        <f t="shared" si="6"/>
        <v>0</v>
      </c>
      <c r="R43" s="16"/>
      <c r="S43" s="16"/>
      <c r="T43" s="11">
        <v>0</v>
      </c>
      <c r="U43" s="16">
        <v>150551</v>
      </c>
      <c r="V43" s="11">
        <f t="shared" si="42"/>
        <v>186585</v>
      </c>
      <c r="W43" s="16"/>
      <c r="X43" s="16">
        <v>44297</v>
      </c>
      <c r="Y43" s="16">
        <f>17171</f>
        <v>17171</v>
      </c>
      <c r="Z43" s="16">
        <f>3866</f>
        <v>3866</v>
      </c>
      <c r="AA43" s="16">
        <f>5321+4706</f>
        <v>10027</v>
      </c>
      <c r="AB43" s="16">
        <v>109906</v>
      </c>
      <c r="AC43" s="16"/>
      <c r="AD43" s="16">
        <f>823+495</f>
        <v>1318</v>
      </c>
      <c r="AE43" s="11"/>
      <c r="AF43" s="11">
        <f>SUM(AG43:BB43)</f>
        <v>160904</v>
      </c>
      <c r="AG43" s="11">
        <v>0</v>
      </c>
      <c r="AH43" s="11"/>
      <c r="AI43" s="16">
        <v>14974</v>
      </c>
      <c r="AJ43" s="16"/>
      <c r="AK43" s="16"/>
      <c r="AL43" s="16">
        <v>12347</v>
      </c>
      <c r="AM43" s="16"/>
      <c r="AN43" s="16"/>
      <c r="AO43" s="16"/>
      <c r="AP43" s="16"/>
      <c r="AQ43" s="16"/>
      <c r="AR43" s="16"/>
      <c r="AS43" s="16"/>
      <c r="AT43" s="16">
        <v>23523</v>
      </c>
      <c r="AU43" s="16"/>
      <c r="AV43" s="16"/>
      <c r="AW43" s="16"/>
      <c r="AX43" s="16"/>
      <c r="AY43" s="16"/>
      <c r="AZ43" s="16"/>
      <c r="BA43" s="16">
        <v>99552</v>
      </c>
      <c r="BB43" s="16">
        <f>4875+5633</f>
        <v>10508</v>
      </c>
      <c r="BC43" s="11">
        <f>SUM(BD43+BH43+BL43+BM43+BN43+BQ43)</f>
        <v>0</v>
      </c>
      <c r="BD43" s="11">
        <f>SUM(BE43:BG43)</f>
        <v>0</v>
      </c>
      <c r="BE43" s="11">
        <v>0</v>
      </c>
      <c r="BF43" s="11">
        <v>0</v>
      </c>
      <c r="BG43" s="11">
        <v>0</v>
      </c>
      <c r="BH43" s="11">
        <f t="shared" si="7"/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f t="shared" si="8"/>
        <v>0</v>
      </c>
      <c r="BO43" s="11">
        <v>0</v>
      </c>
      <c r="BP43" s="11">
        <v>0</v>
      </c>
      <c r="BQ43" s="11">
        <f t="shared" si="9"/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f>SUM(CD43+CT43)</f>
        <v>74718</v>
      </c>
      <c r="CD43" s="11">
        <f>SUM(CE43+CH43+CM43)</f>
        <v>74718</v>
      </c>
      <c r="CE43" s="11">
        <f t="shared" si="10"/>
        <v>74718</v>
      </c>
      <c r="CF43" s="11">
        <v>0</v>
      </c>
      <c r="CG43" s="16">
        <f>104718-30000</f>
        <v>74718</v>
      </c>
      <c r="CH43" s="11">
        <f>SUM(CI43:CL43)</f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f>SUM(CN43:CQ43)</f>
        <v>0</v>
      </c>
      <c r="CN43" s="11">
        <v>0</v>
      </c>
      <c r="CO43" s="11">
        <v>0</v>
      </c>
      <c r="CP43" s="11"/>
      <c r="CQ43" s="11">
        <v>0</v>
      </c>
      <c r="CR43" s="11">
        <v>0</v>
      </c>
      <c r="CS43" s="11">
        <v>0</v>
      </c>
      <c r="CT43" s="11">
        <v>0</v>
      </c>
      <c r="CU43" s="11">
        <f t="shared" si="11"/>
        <v>0</v>
      </c>
      <c r="CV43" s="11">
        <f t="shared" si="12"/>
        <v>0</v>
      </c>
      <c r="CW43" s="11">
        <v>0</v>
      </c>
      <c r="CX43" s="12">
        <v>0</v>
      </c>
    </row>
    <row r="44" spans="1:102" ht="15.75" x14ac:dyDescent="0.25">
      <c r="A44" s="7"/>
      <c r="B44" s="8" t="s">
        <v>122</v>
      </c>
      <c r="C44" s="8" t="s">
        <v>1</v>
      </c>
      <c r="D44" s="9" t="s">
        <v>123</v>
      </c>
      <c r="E44" s="10">
        <f>SUM(E45:E46)</f>
        <v>3258615</v>
      </c>
      <c r="F44" s="11">
        <f t="shared" ref="F44:BR44" si="43">SUM(F45:F46)</f>
        <v>3243615</v>
      </c>
      <c r="G44" s="11">
        <f t="shared" si="43"/>
        <v>3243615</v>
      </c>
      <c r="H44" s="11">
        <f t="shared" si="43"/>
        <v>2278485</v>
      </c>
      <c r="I44" s="11">
        <f t="shared" si="43"/>
        <v>548222</v>
      </c>
      <c r="J44" s="11">
        <f t="shared" si="43"/>
        <v>13278</v>
      </c>
      <c r="K44" s="11">
        <f t="shared" si="43"/>
        <v>0</v>
      </c>
      <c r="L44" s="11">
        <f t="shared" si="43"/>
        <v>0</v>
      </c>
      <c r="M44" s="11">
        <f t="shared" si="43"/>
        <v>0</v>
      </c>
      <c r="N44" s="11">
        <f t="shared" si="43"/>
        <v>0</v>
      </c>
      <c r="O44" s="11">
        <f t="shared" si="43"/>
        <v>0</v>
      </c>
      <c r="P44" s="11">
        <f t="shared" si="43"/>
        <v>13278</v>
      </c>
      <c r="Q44" s="11">
        <f t="shared" si="43"/>
        <v>0</v>
      </c>
      <c r="R44" s="11">
        <f t="shared" si="43"/>
        <v>0</v>
      </c>
      <c r="S44" s="11">
        <f t="shared" si="43"/>
        <v>0</v>
      </c>
      <c r="T44" s="11">
        <f t="shared" si="43"/>
        <v>0</v>
      </c>
      <c r="U44" s="11">
        <f t="shared" si="43"/>
        <v>108762</v>
      </c>
      <c r="V44" s="11">
        <f t="shared" si="43"/>
        <v>267213</v>
      </c>
      <c r="W44" s="11">
        <f t="shared" si="43"/>
        <v>8045</v>
      </c>
      <c r="X44" s="11">
        <f t="shared" si="43"/>
        <v>16795</v>
      </c>
      <c r="Y44" s="11">
        <f t="shared" si="43"/>
        <v>13958</v>
      </c>
      <c r="Z44" s="11">
        <f t="shared" si="43"/>
        <v>3125</v>
      </c>
      <c r="AA44" s="11">
        <f t="shared" si="43"/>
        <v>1805</v>
      </c>
      <c r="AB44" s="11">
        <f t="shared" si="43"/>
        <v>223485</v>
      </c>
      <c r="AC44" s="11">
        <f t="shared" si="43"/>
        <v>0</v>
      </c>
      <c r="AD44" s="11">
        <f t="shared" si="43"/>
        <v>0</v>
      </c>
      <c r="AE44" s="11">
        <f t="shared" si="43"/>
        <v>0</v>
      </c>
      <c r="AF44" s="11">
        <f t="shared" si="43"/>
        <v>27655</v>
      </c>
      <c r="AG44" s="11">
        <f t="shared" si="43"/>
        <v>0</v>
      </c>
      <c r="AH44" s="11">
        <f t="shared" si="43"/>
        <v>0</v>
      </c>
      <c r="AI44" s="11">
        <f t="shared" si="43"/>
        <v>4373</v>
      </c>
      <c r="AJ44" s="11">
        <f t="shared" si="43"/>
        <v>19983</v>
      </c>
      <c r="AK44" s="11">
        <f t="shared" si="43"/>
        <v>0</v>
      </c>
      <c r="AL44" s="11">
        <f t="shared" si="43"/>
        <v>3000</v>
      </c>
      <c r="AM44" s="11">
        <f t="shared" si="43"/>
        <v>0</v>
      </c>
      <c r="AN44" s="11">
        <f t="shared" si="43"/>
        <v>149</v>
      </c>
      <c r="AO44" s="11">
        <f t="shared" si="43"/>
        <v>0</v>
      </c>
      <c r="AP44" s="11">
        <f t="shared" si="43"/>
        <v>0</v>
      </c>
      <c r="AQ44" s="11">
        <f t="shared" si="43"/>
        <v>0</v>
      </c>
      <c r="AR44" s="11">
        <f t="shared" si="43"/>
        <v>0</v>
      </c>
      <c r="AS44" s="11">
        <f t="shared" si="43"/>
        <v>0</v>
      </c>
      <c r="AT44" s="11">
        <f t="shared" si="43"/>
        <v>0</v>
      </c>
      <c r="AU44" s="11">
        <f t="shared" si="43"/>
        <v>0</v>
      </c>
      <c r="AV44" s="11">
        <f t="shared" si="43"/>
        <v>0</v>
      </c>
      <c r="AW44" s="11">
        <f t="shared" si="43"/>
        <v>0</v>
      </c>
      <c r="AX44" s="11">
        <f t="shared" si="43"/>
        <v>0</v>
      </c>
      <c r="AY44" s="11">
        <f t="shared" si="43"/>
        <v>0</v>
      </c>
      <c r="AZ44" s="11">
        <f t="shared" si="43"/>
        <v>0</v>
      </c>
      <c r="BA44" s="11">
        <f t="shared" si="43"/>
        <v>0</v>
      </c>
      <c r="BB44" s="11">
        <f t="shared" si="43"/>
        <v>150</v>
      </c>
      <c r="BC44" s="11">
        <f t="shared" si="43"/>
        <v>0</v>
      </c>
      <c r="BD44" s="11">
        <f t="shared" si="43"/>
        <v>0</v>
      </c>
      <c r="BE44" s="11">
        <f t="shared" si="43"/>
        <v>0</v>
      </c>
      <c r="BF44" s="11">
        <f t="shared" si="43"/>
        <v>0</v>
      </c>
      <c r="BG44" s="11">
        <f t="shared" si="43"/>
        <v>0</v>
      </c>
      <c r="BH44" s="11">
        <f t="shared" si="43"/>
        <v>0</v>
      </c>
      <c r="BI44" s="11">
        <f t="shared" si="43"/>
        <v>0</v>
      </c>
      <c r="BJ44" s="11">
        <f t="shared" si="43"/>
        <v>0</v>
      </c>
      <c r="BK44" s="11">
        <f t="shared" si="43"/>
        <v>0</v>
      </c>
      <c r="BL44" s="11">
        <f t="shared" si="43"/>
        <v>0</v>
      </c>
      <c r="BM44" s="11">
        <f t="shared" si="43"/>
        <v>0</v>
      </c>
      <c r="BN44" s="11">
        <f t="shared" si="43"/>
        <v>0</v>
      </c>
      <c r="BO44" s="11">
        <f t="shared" si="43"/>
        <v>0</v>
      </c>
      <c r="BP44" s="11">
        <f t="shared" si="43"/>
        <v>0</v>
      </c>
      <c r="BQ44" s="11">
        <f t="shared" si="43"/>
        <v>0</v>
      </c>
      <c r="BR44" s="11">
        <f t="shared" si="43"/>
        <v>0</v>
      </c>
      <c r="BS44" s="11">
        <f t="shared" ref="BS44:CX44" si="44">SUM(BS45:BS46)</f>
        <v>0</v>
      </c>
      <c r="BT44" s="11">
        <f t="shared" si="44"/>
        <v>0</v>
      </c>
      <c r="BU44" s="11">
        <f t="shared" si="44"/>
        <v>0</v>
      </c>
      <c r="BV44" s="11">
        <f t="shared" si="44"/>
        <v>0</v>
      </c>
      <c r="BW44" s="11">
        <f t="shared" si="44"/>
        <v>0</v>
      </c>
      <c r="BX44" s="11">
        <f t="shared" si="44"/>
        <v>0</v>
      </c>
      <c r="BY44" s="11">
        <f t="shared" si="44"/>
        <v>0</v>
      </c>
      <c r="BZ44" s="11">
        <f t="shared" si="44"/>
        <v>0</v>
      </c>
      <c r="CA44" s="11">
        <f t="shared" si="44"/>
        <v>0</v>
      </c>
      <c r="CB44" s="11">
        <f t="shared" si="44"/>
        <v>0</v>
      </c>
      <c r="CC44" s="11">
        <f t="shared" si="44"/>
        <v>15000</v>
      </c>
      <c r="CD44" s="11">
        <f t="shared" si="44"/>
        <v>15000</v>
      </c>
      <c r="CE44" s="11">
        <f t="shared" si="44"/>
        <v>15000</v>
      </c>
      <c r="CF44" s="11">
        <f t="shared" si="44"/>
        <v>0</v>
      </c>
      <c r="CG44" s="11">
        <f t="shared" si="44"/>
        <v>15000</v>
      </c>
      <c r="CH44" s="11">
        <f t="shared" si="44"/>
        <v>0</v>
      </c>
      <c r="CI44" s="11">
        <f t="shared" si="44"/>
        <v>0</v>
      </c>
      <c r="CJ44" s="11">
        <f t="shared" si="44"/>
        <v>0</v>
      </c>
      <c r="CK44" s="11">
        <f t="shared" si="44"/>
        <v>0</v>
      </c>
      <c r="CL44" s="11">
        <f t="shared" si="44"/>
        <v>0</v>
      </c>
      <c r="CM44" s="11">
        <f t="shared" si="44"/>
        <v>0</v>
      </c>
      <c r="CN44" s="11">
        <f t="shared" si="44"/>
        <v>0</v>
      </c>
      <c r="CO44" s="11">
        <f t="shared" si="44"/>
        <v>0</v>
      </c>
      <c r="CP44" s="11">
        <f t="shared" si="44"/>
        <v>0</v>
      </c>
      <c r="CQ44" s="11">
        <f t="shared" si="44"/>
        <v>0</v>
      </c>
      <c r="CR44" s="11">
        <f t="shared" si="44"/>
        <v>0</v>
      </c>
      <c r="CS44" s="11">
        <f t="shared" si="44"/>
        <v>0</v>
      </c>
      <c r="CT44" s="11">
        <f t="shared" si="44"/>
        <v>0</v>
      </c>
      <c r="CU44" s="11">
        <f t="shared" si="44"/>
        <v>0</v>
      </c>
      <c r="CV44" s="11">
        <f t="shared" si="44"/>
        <v>0</v>
      </c>
      <c r="CW44" s="11">
        <f t="shared" si="44"/>
        <v>0</v>
      </c>
      <c r="CX44" s="12">
        <f t="shared" si="44"/>
        <v>0</v>
      </c>
    </row>
    <row r="45" spans="1:102" ht="15.75" x14ac:dyDescent="0.25">
      <c r="A45" s="13" t="s">
        <v>1</v>
      </c>
      <c r="B45" s="14" t="s">
        <v>1</v>
      </c>
      <c r="C45" s="14" t="s">
        <v>82</v>
      </c>
      <c r="D45" s="15" t="s">
        <v>604</v>
      </c>
      <c r="E45" s="10">
        <f>SUM(F45+CC45+CU45)</f>
        <v>1594536</v>
      </c>
      <c r="F45" s="11">
        <f>SUM(G45+BC45)</f>
        <v>1581623</v>
      </c>
      <c r="G45" s="11">
        <f>SUM(H45+I45+J45+Q45+T45+U45+V45+AF45+AE45)</f>
        <v>1581623</v>
      </c>
      <c r="H45" s="11">
        <f>0+1025870</f>
        <v>1025870</v>
      </c>
      <c r="I45" s="11">
        <f>0+221785</f>
        <v>221785</v>
      </c>
      <c r="J45" s="11">
        <f>SUM(K45:P45)</f>
        <v>1942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>0+1942</f>
        <v>1942</v>
      </c>
      <c r="Q45" s="11">
        <f t="shared" ref="Q45" si="45">SUM(R45:S45)</f>
        <v>0</v>
      </c>
      <c r="R45" s="11"/>
      <c r="S45" s="11">
        <v>0</v>
      </c>
      <c r="T45" s="11">
        <v>0</v>
      </c>
      <c r="U45" s="11">
        <f>0+76551</f>
        <v>76551</v>
      </c>
      <c r="V45" s="11">
        <f>SUM(W45:AD45)</f>
        <v>249689</v>
      </c>
      <c r="W45" s="16">
        <f>0+783</f>
        <v>783</v>
      </c>
      <c r="X45" s="16">
        <f>0+14030</f>
        <v>14030</v>
      </c>
      <c r="Y45" s="16">
        <f>0+10684+3274</f>
        <v>13958</v>
      </c>
      <c r="Z45" s="16">
        <f>0+3125</f>
        <v>3125</v>
      </c>
      <c r="AA45" s="16">
        <f>0+1805</f>
        <v>1805</v>
      </c>
      <c r="AB45" s="16">
        <f>0+215988</f>
        <v>215988</v>
      </c>
      <c r="AC45" s="16"/>
      <c r="AD45" s="16"/>
      <c r="AE45" s="11">
        <v>0</v>
      </c>
      <c r="AF45" s="11">
        <f>SUM(AG45:BB45)</f>
        <v>5786</v>
      </c>
      <c r="AG45" s="11">
        <v>0</v>
      </c>
      <c r="AH45" s="11"/>
      <c r="AI45" s="16">
        <f>0+1605</f>
        <v>1605</v>
      </c>
      <c r="AJ45" s="16">
        <f>0+882</f>
        <v>882</v>
      </c>
      <c r="AK45" s="16"/>
      <c r="AL45" s="16">
        <f>0+3000</f>
        <v>3000</v>
      </c>
      <c r="AM45" s="16"/>
      <c r="AN45" s="16">
        <f>0+149</f>
        <v>149</v>
      </c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>
        <f>0+150</f>
        <v>150</v>
      </c>
      <c r="BC45" s="11">
        <f>SUM(BD45+BH45+BL45+BM45+BN45+BQ45)</f>
        <v>0</v>
      </c>
      <c r="BD45" s="11">
        <f>SUM(BE45:BG45)</f>
        <v>0</v>
      </c>
      <c r="BE45" s="11">
        <v>0</v>
      </c>
      <c r="BF45" s="11">
        <v>0</v>
      </c>
      <c r="BG45" s="11">
        <v>0</v>
      </c>
      <c r="BH45" s="11">
        <f t="shared" ref="BH45" si="46">SUM(BJ45:BK45)</f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f t="shared" ref="BN45" si="47">SUM(BO45)</f>
        <v>0</v>
      </c>
      <c r="BO45" s="11">
        <v>0</v>
      </c>
      <c r="BP45" s="11">
        <v>0</v>
      </c>
      <c r="BQ45" s="11">
        <f t="shared" ref="BQ45" si="48">SUM(BR45:CB45)</f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f>SUM(CD45+CT45)</f>
        <v>12913</v>
      </c>
      <c r="CD45" s="11">
        <f>SUM(CE45+CH45+CM45)</f>
        <v>12913</v>
      </c>
      <c r="CE45" s="11">
        <f t="shared" ref="CE45" si="49">SUM(CF45:CG45)</f>
        <v>12913</v>
      </c>
      <c r="CF45" s="11">
        <v>0</v>
      </c>
      <c r="CG45" s="11">
        <f>0+12913</f>
        <v>12913</v>
      </c>
      <c r="CH45" s="11">
        <f>SUM(CI45:CL45)</f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f>SUM(CN45:CQ45)</f>
        <v>0</v>
      </c>
      <c r="CN45" s="11">
        <v>0</v>
      </c>
      <c r="CO45" s="11">
        <v>0</v>
      </c>
      <c r="CP45" s="11"/>
      <c r="CQ45" s="11">
        <v>0</v>
      </c>
      <c r="CR45" s="11">
        <v>0</v>
      </c>
      <c r="CS45" s="11">
        <v>0</v>
      </c>
      <c r="CT45" s="11">
        <v>0</v>
      </c>
      <c r="CU45" s="11">
        <f t="shared" ref="CU45" si="50">SUM(CV45)</f>
        <v>0</v>
      </c>
      <c r="CV45" s="11">
        <f t="shared" ref="CV45" si="51">SUM(CW45:CX45)</f>
        <v>0</v>
      </c>
      <c r="CW45" s="11">
        <v>0</v>
      </c>
      <c r="CX45" s="12">
        <v>0</v>
      </c>
    </row>
    <row r="46" spans="1:102" ht="31.5" x14ac:dyDescent="0.25">
      <c r="A46" s="13" t="s">
        <v>1</v>
      </c>
      <c r="B46" s="14" t="s">
        <v>1</v>
      </c>
      <c r="C46" s="14" t="s">
        <v>111</v>
      </c>
      <c r="D46" s="15" t="s">
        <v>124</v>
      </c>
      <c r="E46" s="10">
        <f>SUM(F46+CC46+CU46)</f>
        <v>1664079</v>
      </c>
      <c r="F46" s="11">
        <f>SUM(G46+BC46)</f>
        <v>1661992</v>
      </c>
      <c r="G46" s="11">
        <f>SUM(H46+I46+J46+Q46+T46+U46+V46+AF46+AE46)</f>
        <v>1661992</v>
      </c>
      <c r="H46" s="11">
        <f>2163119+115366-1025870</f>
        <v>1252615</v>
      </c>
      <c r="I46" s="11">
        <f>519380+28842-221785</f>
        <v>326437</v>
      </c>
      <c r="J46" s="11">
        <f>SUM(K46:P46)</f>
        <v>11336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>13278-1942</f>
        <v>11336</v>
      </c>
      <c r="Q46" s="11">
        <f t="shared" si="6"/>
        <v>0</v>
      </c>
      <c r="R46" s="11"/>
      <c r="S46" s="11">
        <v>0</v>
      </c>
      <c r="T46" s="11">
        <v>0</v>
      </c>
      <c r="U46" s="11">
        <f>108762-76551</f>
        <v>32211</v>
      </c>
      <c r="V46" s="11">
        <f>SUM(W46:AD46)</f>
        <v>17524</v>
      </c>
      <c r="W46" s="16">
        <f>8045-783</f>
        <v>7262</v>
      </c>
      <c r="X46" s="16">
        <f>16795-14030</f>
        <v>2765</v>
      </c>
      <c r="Y46" s="16">
        <f>10684-10684</f>
        <v>0</v>
      </c>
      <c r="Z46" s="16">
        <f>3125-3125</f>
        <v>0</v>
      </c>
      <c r="AA46" s="16">
        <f>1805-1805</f>
        <v>0</v>
      </c>
      <c r="AB46" s="16">
        <f>223485-215988</f>
        <v>7497</v>
      </c>
      <c r="AC46" s="16"/>
      <c r="AD46" s="16"/>
      <c r="AE46" s="11">
        <v>0</v>
      </c>
      <c r="AF46" s="11">
        <f>SUM(AG46:BB46)</f>
        <v>21869</v>
      </c>
      <c r="AG46" s="11">
        <v>0</v>
      </c>
      <c r="AH46" s="11"/>
      <c r="AI46" s="16">
        <f>4373-1605</f>
        <v>2768</v>
      </c>
      <c r="AJ46" s="16">
        <f>19983-882</f>
        <v>19101</v>
      </c>
      <c r="AK46" s="16"/>
      <c r="AL46" s="16">
        <f>3000-3000</f>
        <v>0</v>
      </c>
      <c r="AM46" s="16"/>
      <c r="AN46" s="16">
        <f>149-149</f>
        <v>0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>
        <f>150-150</f>
        <v>0</v>
      </c>
      <c r="BC46" s="11">
        <f>SUM(BD46+BH46+BL46+BM46+BN46+BQ46)</f>
        <v>0</v>
      </c>
      <c r="BD46" s="11">
        <f>SUM(BE46:BG46)</f>
        <v>0</v>
      </c>
      <c r="BE46" s="11">
        <v>0</v>
      </c>
      <c r="BF46" s="11">
        <v>0</v>
      </c>
      <c r="BG46" s="11">
        <v>0</v>
      </c>
      <c r="BH46" s="11">
        <f t="shared" si="7"/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f t="shared" si="8"/>
        <v>0</v>
      </c>
      <c r="BO46" s="11">
        <v>0</v>
      </c>
      <c r="BP46" s="11">
        <v>0</v>
      </c>
      <c r="BQ46" s="11">
        <f t="shared" si="9"/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f>SUM(CD46+CT46)</f>
        <v>2087</v>
      </c>
      <c r="CD46" s="11">
        <f>SUM(CE46+CH46+CM46)</f>
        <v>2087</v>
      </c>
      <c r="CE46" s="11">
        <f t="shared" si="10"/>
        <v>2087</v>
      </c>
      <c r="CF46" s="11">
        <v>0</v>
      </c>
      <c r="CG46" s="11">
        <f>15000-12913</f>
        <v>2087</v>
      </c>
      <c r="CH46" s="11">
        <f>SUM(CI46:CL46)</f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f>SUM(CN46:CQ46)</f>
        <v>0</v>
      </c>
      <c r="CN46" s="11">
        <v>0</v>
      </c>
      <c r="CO46" s="11">
        <v>0</v>
      </c>
      <c r="CP46" s="11"/>
      <c r="CQ46" s="11">
        <v>0</v>
      </c>
      <c r="CR46" s="11">
        <v>0</v>
      </c>
      <c r="CS46" s="11">
        <v>0</v>
      </c>
      <c r="CT46" s="11">
        <v>0</v>
      </c>
      <c r="CU46" s="11">
        <f t="shared" si="11"/>
        <v>0</v>
      </c>
      <c r="CV46" s="11">
        <f t="shared" si="12"/>
        <v>0</v>
      </c>
      <c r="CW46" s="11">
        <v>0</v>
      </c>
      <c r="CX46" s="12">
        <v>0</v>
      </c>
    </row>
    <row r="47" spans="1:102" ht="31.5" x14ac:dyDescent="0.25">
      <c r="A47" s="7"/>
      <c r="B47" s="8" t="s">
        <v>125</v>
      </c>
      <c r="C47" s="8" t="s">
        <v>1</v>
      </c>
      <c r="D47" s="9" t="s">
        <v>126</v>
      </c>
      <c r="E47" s="10">
        <f t="shared" ref="E47:AL47" si="52">SUM(E48)</f>
        <v>10243248</v>
      </c>
      <c r="F47" s="11">
        <f t="shared" si="52"/>
        <v>9823157</v>
      </c>
      <c r="G47" s="11">
        <f t="shared" si="52"/>
        <v>9805521</v>
      </c>
      <c r="H47" s="11">
        <f t="shared" si="52"/>
        <v>5396040</v>
      </c>
      <c r="I47" s="11">
        <f t="shared" si="52"/>
        <v>1383449</v>
      </c>
      <c r="J47" s="11">
        <f t="shared" si="52"/>
        <v>561096</v>
      </c>
      <c r="K47" s="11">
        <f t="shared" si="52"/>
        <v>450</v>
      </c>
      <c r="L47" s="11">
        <f t="shared" si="52"/>
        <v>0</v>
      </c>
      <c r="M47" s="11">
        <f t="shared" si="52"/>
        <v>0</v>
      </c>
      <c r="N47" s="11">
        <f t="shared" si="52"/>
        <v>0</v>
      </c>
      <c r="O47" s="11">
        <f t="shared" si="52"/>
        <v>378490</v>
      </c>
      <c r="P47" s="11">
        <f t="shared" si="52"/>
        <v>182156</v>
      </c>
      <c r="Q47" s="11">
        <f t="shared" si="52"/>
        <v>460994</v>
      </c>
      <c r="R47" s="11">
        <f t="shared" si="52"/>
        <v>0</v>
      </c>
      <c r="S47" s="11">
        <f t="shared" si="52"/>
        <v>460994</v>
      </c>
      <c r="T47" s="11">
        <f t="shared" si="52"/>
        <v>0</v>
      </c>
      <c r="U47" s="11">
        <f t="shared" si="52"/>
        <v>332986</v>
      </c>
      <c r="V47" s="11">
        <f t="shared" si="52"/>
        <v>571490</v>
      </c>
      <c r="W47" s="11">
        <f t="shared" si="52"/>
        <v>109851</v>
      </c>
      <c r="X47" s="11">
        <f t="shared" si="52"/>
        <v>234331</v>
      </c>
      <c r="Y47" s="11">
        <f t="shared" si="52"/>
        <v>161230</v>
      </c>
      <c r="Z47" s="11">
        <f t="shared" si="52"/>
        <v>49256</v>
      </c>
      <c r="AA47" s="11">
        <f t="shared" si="52"/>
        <v>16822</v>
      </c>
      <c r="AB47" s="11">
        <f t="shared" si="52"/>
        <v>0</v>
      </c>
      <c r="AC47" s="11">
        <f t="shared" si="52"/>
        <v>0</v>
      </c>
      <c r="AD47" s="11">
        <f t="shared" si="52"/>
        <v>0</v>
      </c>
      <c r="AE47" s="11">
        <f t="shared" si="52"/>
        <v>0</v>
      </c>
      <c r="AF47" s="11">
        <f t="shared" si="52"/>
        <v>1099466</v>
      </c>
      <c r="AG47" s="11">
        <f t="shared" si="52"/>
        <v>0</v>
      </c>
      <c r="AH47" s="11">
        <f t="shared" si="52"/>
        <v>0</v>
      </c>
      <c r="AI47" s="11">
        <f t="shared" si="52"/>
        <v>27184</v>
      </c>
      <c r="AJ47" s="11">
        <f t="shared" si="52"/>
        <v>570015</v>
      </c>
      <c r="AK47" s="11">
        <f t="shared" si="52"/>
        <v>0</v>
      </c>
      <c r="AL47" s="11">
        <f t="shared" si="52"/>
        <v>2308</v>
      </c>
      <c r="AM47" s="11">
        <f t="shared" ref="AM47:CX47" si="53">SUM(AM48)</f>
        <v>20166</v>
      </c>
      <c r="AN47" s="11">
        <f t="shared" si="53"/>
        <v>46750</v>
      </c>
      <c r="AO47" s="11">
        <f t="shared" si="53"/>
        <v>0</v>
      </c>
      <c r="AP47" s="11">
        <f t="shared" si="53"/>
        <v>277213</v>
      </c>
      <c r="AQ47" s="11">
        <f t="shared" si="53"/>
        <v>0</v>
      </c>
      <c r="AR47" s="11">
        <f t="shared" si="53"/>
        <v>0</v>
      </c>
      <c r="AS47" s="11">
        <f t="shared" si="53"/>
        <v>0</v>
      </c>
      <c r="AT47" s="11">
        <f t="shared" si="53"/>
        <v>0</v>
      </c>
      <c r="AU47" s="11">
        <f t="shared" si="53"/>
        <v>13596</v>
      </c>
      <c r="AV47" s="11"/>
      <c r="AW47" s="11"/>
      <c r="AX47" s="11">
        <f t="shared" si="53"/>
        <v>0</v>
      </c>
      <c r="AY47" s="11">
        <f t="shared" si="53"/>
        <v>0</v>
      </c>
      <c r="AZ47" s="11">
        <f t="shared" si="53"/>
        <v>0</v>
      </c>
      <c r="BA47" s="11">
        <f t="shared" si="53"/>
        <v>43920</v>
      </c>
      <c r="BB47" s="11">
        <f t="shared" si="53"/>
        <v>98314</v>
      </c>
      <c r="BC47" s="11">
        <f t="shared" si="53"/>
        <v>17636</v>
      </c>
      <c r="BD47" s="11">
        <f t="shared" si="53"/>
        <v>0</v>
      </c>
      <c r="BE47" s="11">
        <f t="shared" si="53"/>
        <v>0</v>
      </c>
      <c r="BF47" s="11">
        <f t="shared" si="53"/>
        <v>0</v>
      </c>
      <c r="BG47" s="11">
        <f t="shared" si="53"/>
        <v>0</v>
      </c>
      <c r="BH47" s="11">
        <f t="shared" si="53"/>
        <v>0</v>
      </c>
      <c r="BI47" s="11">
        <f t="shared" si="53"/>
        <v>0</v>
      </c>
      <c r="BJ47" s="11">
        <f t="shared" si="53"/>
        <v>0</v>
      </c>
      <c r="BK47" s="11">
        <f t="shared" si="53"/>
        <v>0</v>
      </c>
      <c r="BL47" s="11">
        <f t="shared" si="53"/>
        <v>0</v>
      </c>
      <c r="BM47" s="11">
        <f t="shared" si="53"/>
        <v>0</v>
      </c>
      <c r="BN47" s="11">
        <f t="shared" si="53"/>
        <v>0</v>
      </c>
      <c r="BO47" s="11">
        <f t="shared" si="53"/>
        <v>0</v>
      </c>
      <c r="BP47" s="11">
        <f t="shared" si="53"/>
        <v>0</v>
      </c>
      <c r="BQ47" s="11">
        <f t="shared" si="53"/>
        <v>17636</v>
      </c>
      <c r="BR47" s="11">
        <f t="shared" si="53"/>
        <v>0</v>
      </c>
      <c r="BS47" s="11">
        <f t="shared" si="53"/>
        <v>0</v>
      </c>
      <c r="BT47" s="11">
        <f t="shared" si="53"/>
        <v>0</v>
      </c>
      <c r="BU47" s="11">
        <f t="shared" si="53"/>
        <v>0</v>
      </c>
      <c r="BV47" s="11">
        <f t="shared" si="53"/>
        <v>0</v>
      </c>
      <c r="BW47" s="11">
        <f t="shared" si="53"/>
        <v>0</v>
      </c>
      <c r="BX47" s="11">
        <f t="shared" si="53"/>
        <v>0</v>
      </c>
      <c r="BY47" s="11">
        <f t="shared" si="53"/>
        <v>0</v>
      </c>
      <c r="BZ47" s="11">
        <f t="shared" si="53"/>
        <v>0</v>
      </c>
      <c r="CA47" s="11">
        <f t="shared" si="53"/>
        <v>17636</v>
      </c>
      <c r="CB47" s="11">
        <f t="shared" si="53"/>
        <v>0</v>
      </c>
      <c r="CC47" s="11">
        <f t="shared" si="53"/>
        <v>420091</v>
      </c>
      <c r="CD47" s="11">
        <f t="shared" si="53"/>
        <v>420091</v>
      </c>
      <c r="CE47" s="11">
        <f t="shared" si="53"/>
        <v>250000</v>
      </c>
      <c r="CF47" s="11">
        <f t="shared" si="53"/>
        <v>0</v>
      </c>
      <c r="CG47" s="11">
        <f t="shared" si="53"/>
        <v>250000</v>
      </c>
      <c r="CH47" s="11">
        <f t="shared" si="53"/>
        <v>0</v>
      </c>
      <c r="CI47" s="11">
        <f t="shared" si="53"/>
        <v>0</v>
      </c>
      <c r="CJ47" s="11">
        <f t="shared" si="53"/>
        <v>0</v>
      </c>
      <c r="CK47" s="11">
        <f t="shared" si="53"/>
        <v>0</v>
      </c>
      <c r="CL47" s="11">
        <f t="shared" si="53"/>
        <v>0</v>
      </c>
      <c r="CM47" s="11">
        <f t="shared" si="53"/>
        <v>170091</v>
      </c>
      <c r="CN47" s="11">
        <f t="shared" si="53"/>
        <v>0</v>
      </c>
      <c r="CO47" s="11">
        <f t="shared" si="53"/>
        <v>170091</v>
      </c>
      <c r="CP47" s="11"/>
      <c r="CQ47" s="11">
        <f t="shared" si="53"/>
        <v>0</v>
      </c>
      <c r="CR47" s="11">
        <f t="shared" si="53"/>
        <v>0</v>
      </c>
      <c r="CS47" s="11">
        <f t="shared" si="53"/>
        <v>0</v>
      </c>
      <c r="CT47" s="11">
        <f t="shared" si="53"/>
        <v>0</v>
      </c>
      <c r="CU47" s="11">
        <f t="shared" si="53"/>
        <v>0</v>
      </c>
      <c r="CV47" s="11">
        <f t="shared" si="53"/>
        <v>0</v>
      </c>
      <c r="CW47" s="11">
        <f t="shared" si="53"/>
        <v>0</v>
      </c>
      <c r="CX47" s="12">
        <f t="shared" si="53"/>
        <v>0</v>
      </c>
    </row>
    <row r="48" spans="1:102" ht="15.75" x14ac:dyDescent="0.25">
      <c r="A48" s="13" t="s">
        <v>1</v>
      </c>
      <c r="B48" s="14" t="s">
        <v>1</v>
      </c>
      <c r="C48" s="14" t="s">
        <v>127</v>
      </c>
      <c r="D48" s="15" t="s">
        <v>128</v>
      </c>
      <c r="E48" s="10">
        <f>SUM(F48+CC48+CU48)</f>
        <v>10243248</v>
      </c>
      <c r="F48" s="11">
        <f>SUM(G48+BC48)</f>
        <v>9823157</v>
      </c>
      <c r="G48" s="11">
        <f>SUM(H48+I48+J48+Q48+T48+U48+V48+AF48+AE48)</f>
        <v>9805521</v>
      </c>
      <c r="H48" s="16">
        <f>5122823+273217</f>
        <v>5396040</v>
      </c>
      <c r="I48" s="16">
        <f>1315145+68304</f>
        <v>1383449</v>
      </c>
      <c r="J48" s="11">
        <f>SUM(K48:P48)</f>
        <v>561096</v>
      </c>
      <c r="K48" s="11">
        <v>450</v>
      </c>
      <c r="L48" s="11">
        <v>0</v>
      </c>
      <c r="M48" s="11">
        <v>0</v>
      </c>
      <c r="N48" s="11">
        <v>0</v>
      </c>
      <c r="O48" s="11">
        <v>378490</v>
      </c>
      <c r="P48" s="11">
        <v>182156</v>
      </c>
      <c r="Q48" s="11">
        <f t="shared" si="6"/>
        <v>460994</v>
      </c>
      <c r="R48" s="11">
        <v>0</v>
      </c>
      <c r="S48" s="11">
        <v>460994</v>
      </c>
      <c r="T48" s="11">
        <v>0</v>
      </c>
      <c r="U48" s="11">
        <f>333465-479</f>
        <v>332986</v>
      </c>
      <c r="V48" s="11">
        <f>SUM(W48:AD48)</f>
        <v>571490</v>
      </c>
      <c r="W48" s="16">
        <v>109851</v>
      </c>
      <c r="X48" s="16">
        <v>234331</v>
      </c>
      <c r="Y48" s="16">
        <v>161230</v>
      </c>
      <c r="Z48" s="16">
        <f>42488+6768</f>
        <v>49256</v>
      </c>
      <c r="AA48" s="16">
        <v>16822</v>
      </c>
      <c r="AB48" s="16"/>
      <c r="AC48" s="16"/>
      <c r="AD48" s="16"/>
      <c r="AE48" s="11">
        <v>0</v>
      </c>
      <c r="AF48" s="11">
        <f>SUM(AG48:BB48)</f>
        <v>1099466</v>
      </c>
      <c r="AG48" s="11">
        <v>0</v>
      </c>
      <c r="AH48" s="11"/>
      <c r="AI48" s="16">
        <v>27184</v>
      </c>
      <c r="AJ48" s="16">
        <v>570015</v>
      </c>
      <c r="AK48" s="16"/>
      <c r="AL48" s="16">
        <v>2308</v>
      </c>
      <c r="AM48" s="16">
        <v>20166</v>
      </c>
      <c r="AN48" s="16">
        <v>46750</v>
      </c>
      <c r="AO48" s="16"/>
      <c r="AP48" s="16">
        <v>277213</v>
      </c>
      <c r="AQ48" s="16"/>
      <c r="AR48" s="16"/>
      <c r="AS48" s="16"/>
      <c r="AT48" s="16"/>
      <c r="AU48" s="16">
        <v>13596</v>
      </c>
      <c r="AV48" s="16"/>
      <c r="AW48" s="16"/>
      <c r="AX48" s="16"/>
      <c r="AY48" s="16"/>
      <c r="AZ48" s="16"/>
      <c r="BA48" s="16">
        <v>43920</v>
      </c>
      <c r="BB48" s="16">
        <v>98314</v>
      </c>
      <c r="BC48" s="11">
        <f>SUM(BD48+BH48+BL48+BM48+BN48+BQ48)</f>
        <v>17636</v>
      </c>
      <c r="BD48" s="11">
        <f>SUM(BE48:BG48)</f>
        <v>0</v>
      </c>
      <c r="BE48" s="11">
        <v>0</v>
      </c>
      <c r="BF48" s="11">
        <v>0</v>
      </c>
      <c r="BG48" s="11">
        <v>0</v>
      </c>
      <c r="BH48" s="11">
        <f t="shared" si="7"/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f t="shared" si="8"/>
        <v>0</v>
      </c>
      <c r="BO48" s="11">
        <v>0</v>
      </c>
      <c r="BP48" s="11">
        <v>0</v>
      </c>
      <c r="BQ48" s="11">
        <f t="shared" si="9"/>
        <v>17636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17636</v>
      </c>
      <c r="CB48" s="11">
        <v>0</v>
      </c>
      <c r="CC48" s="11">
        <f>SUM(CD48+CT48)</f>
        <v>420091</v>
      </c>
      <c r="CD48" s="11">
        <f>SUM(CE48+CH48+CM48)</f>
        <v>420091</v>
      </c>
      <c r="CE48" s="11">
        <f t="shared" si="10"/>
        <v>250000</v>
      </c>
      <c r="CF48" s="11">
        <v>0</v>
      </c>
      <c r="CG48" s="11">
        <v>250000</v>
      </c>
      <c r="CH48" s="11">
        <f>SUM(CI48:CL48)</f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f>SUM(CN48:CQ48)</f>
        <v>170091</v>
      </c>
      <c r="CN48" s="11"/>
      <c r="CO48" s="11">
        <v>170091</v>
      </c>
      <c r="CP48" s="11"/>
      <c r="CQ48" s="11">
        <v>0</v>
      </c>
      <c r="CR48" s="11">
        <v>0</v>
      </c>
      <c r="CS48" s="11">
        <v>0</v>
      </c>
      <c r="CT48" s="11">
        <v>0</v>
      </c>
      <c r="CU48" s="11">
        <f t="shared" si="11"/>
        <v>0</v>
      </c>
      <c r="CV48" s="11">
        <f t="shared" si="12"/>
        <v>0</v>
      </c>
      <c r="CW48" s="11">
        <v>0</v>
      </c>
      <c r="CX48" s="12">
        <v>0</v>
      </c>
    </row>
    <row r="49" spans="1:102" ht="15.75" x14ac:dyDescent="0.25">
      <c r="A49" s="18" t="s">
        <v>129</v>
      </c>
      <c r="B49" s="19" t="s">
        <v>1</v>
      </c>
      <c r="C49" s="19" t="s">
        <v>1</v>
      </c>
      <c r="D49" s="20" t="s">
        <v>130</v>
      </c>
      <c r="E49" s="21">
        <f>SUM(E50+E52+E54+E56+E58)</f>
        <v>50180550</v>
      </c>
      <c r="F49" s="22">
        <f t="shared" ref="F49:BW49" si="54">SUM(F50+F52+F54+F56+F58)</f>
        <v>49529761</v>
      </c>
      <c r="G49" s="22">
        <f t="shared" si="54"/>
        <v>49490270</v>
      </c>
      <c r="H49" s="22">
        <f t="shared" si="54"/>
        <v>39918804</v>
      </c>
      <c r="I49" s="22">
        <f t="shared" si="54"/>
        <v>4392219</v>
      </c>
      <c r="J49" s="22">
        <f t="shared" si="54"/>
        <v>1463598</v>
      </c>
      <c r="K49" s="22">
        <f t="shared" si="54"/>
        <v>0</v>
      </c>
      <c r="L49" s="22">
        <f t="shared" si="54"/>
        <v>13170</v>
      </c>
      <c r="M49" s="22">
        <f t="shared" si="54"/>
        <v>0</v>
      </c>
      <c r="N49" s="22">
        <f t="shared" si="54"/>
        <v>0</v>
      </c>
      <c r="O49" s="22">
        <f t="shared" si="54"/>
        <v>1021211</v>
      </c>
      <c r="P49" s="22">
        <f t="shared" si="54"/>
        <v>429217</v>
      </c>
      <c r="Q49" s="22">
        <f t="shared" si="54"/>
        <v>1140</v>
      </c>
      <c r="R49" s="22">
        <f t="shared" si="54"/>
        <v>1140</v>
      </c>
      <c r="S49" s="22">
        <f t="shared" si="54"/>
        <v>0</v>
      </c>
      <c r="T49" s="22">
        <f t="shared" si="54"/>
        <v>0</v>
      </c>
      <c r="U49" s="22">
        <f t="shared" si="54"/>
        <v>934240</v>
      </c>
      <c r="V49" s="22">
        <f t="shared" si="54"/>
        <v>667462</v>
      </c>
      <c r="W49" s="22">
        <f t="shared" si="54"/>
        <v>89517</v>
      </c>
      <c r="X49" s="22">
        <f t="shared" si="54"/>
        <v>225770</v>
      </c>
      <c r="Y49" s="22">
        <f t="shared" si="54"/>
        <v>244182</v>
      </c>
      <c r="Z49" s="22">
        <f t="shared" si="54"/>
        <v>46292</v>
      </c>
      <c r="AA49" s="22">
        <f t="shared" si="54"/>
        <v>14394</v>
      </c>
      <c r="AB49" s="22">
        <f t="shared" si="54"/>
        <v>0</v>
      </c>
      <c r="AC49" s="22">
        <f t="shared" si="54"/>
        <v>0</v>
      </c>
      <c r="AD49" s="22">
        <f t="shared" si="54"/>
        <v>47307</v>
      </c>
      <c r="AE49" s="22">
        <f t="shared" si="54"/>
        <v>0</v>
      </c>
      <c r="AF49" s="22">
        <f t="shared" si="54"/>
        <v>2112807</v>
      </c>
      <c r="AG49" s="22">
        <f t="shared" si="54"/>
        <v>0</v>
      </c>
      <c r="AH49" s="22">
        <f t="shared" si="54"/>
        <v>0</v>
      </c>
      <c r="AI49" s="22">
        <f t="shared" si="54"/>
        <v>25237</v>
      </c>
      <c r="AJ49" s="22">
        <f t="shared" si="54"/>
        <v>58207</v>
      </c>
      <c r="AK49" s="22">
        <f t="shared" si="54"/>
        <v>0</v>
      </c>
      <c r="AL49" s="22">
        <f t="shared" si="54"/>
        <v>14775</v>
      </c>
      <c r="AM49" s="22">
        <f t="shared" si="54"/>
        <v>4230</v>
      </c>
      <c r="AN49" s="22">
        <f t="shared" si="54"/>
        <v>42752</v>
      </c>
      <c r="AO49" s="22">
        <f t="shared" si="54"/>
        <v>109568</v>
      </c>
      <c r="AP49" s="22">
        <f t="shared" si="54"/>
        <v>166064</v>
      </c>
      <c r="AQ49" s="22">
        <f t="shared" si="54"/>
        <v>15984</v>
      </c>
      <c r="AR49" s="22">
        <f t="shared" ref="AR49" si="55">SUM(AR50+AR52+AR54+AR56+AR58)</f>
        <v>0</v>
      </c>
      <c r="AS49" s="22">
        <f t="shared" si="54"/>
        <v>0</v>
      </c>
      <c r="AT49" s="22">
        <f t="shared" si="54"/>
        <v>743119</v>
      </c>
      <c r="AU49" s="22">
        <f t="shared" si="54"/>
        <v>735</v>
      </c>
      <c r="AV49" s="22">
        <f t="shared" si="54"/>
        <v>524239</v>
      </c>
      <c r="AW49" s="22"/>
      <c r="AX49" s="22">
        <f t="shared" si="54"/>
        <v>0</v>
      </c>
      <c r="AY49" s="22">
        <f t="shared" si="54"/>
        <v>0</v>
      </c>
      <c r="AZ49" s="22">
        <f t="shared" si="54"/>
        <v>0</v>
      </c>
      <c r="BA49" s="22">
        <f t="shared" si="54"/>
        <v>122687</v>
      </c>
      <c r="BB49" s="22">
        <f t="shared" si="54"/>
        <v>285210</v>
      </c>
      <c r="BC49" s="22">
        <f t="shared" si="54"/>
        <v>39491</v>
      </c>
      <c r="BD49" s="22">
        <f t="shared" si="54"/>
        <v>0</v>
      </c>
      <c r="BE49" s="22">
        <f t="shared" si="54"/>
        <v>0</v>
      </c>
      <c r="BF49" s="22">
        <f t="shared" si="54"/>
        <v>0</v>
      </c>
      <c r="BG49" s="22">
        <f t="shared" si="54"/>
        <v>0</v>
      </c>
      <c r="BH49" s="22">
        <f t="shared" si="54"/>
        <v>0</v>
      </c>
      <c r="BI49" s="22">
        <f t="shared" si="54"/>
        <v>0</v>
      </c>
      <c r="BJ49" s="22">
        <f t="shared" si="54"/>
        <v>0</v>
      </c>
      <c r="BK49" s="22">
        <f t="shared" si="54"/>
        <v>0</v>
      </c>
      <c r="BL49" s="22">
        <f t="shared" si="54"/>
        <v>0</v>
      </c>
      <c r="BM49" s="22">
        <f t="shared" si="54"/>
        <v>0</v>
      </c>
      <c r="BN49" s="22">
        <f t="shared" si="54"/>
        <v>0</v>
      </c>
      <c r="BO49" s="22">
        <f t="shared" si="54"/>
        <v>0</v>
      </c>
      <c r="BP49" s="22">
        <f t="shared" ref="BP49" si="56">SUM(BP50+BP52+BP54+BP56+BP58)</f>
        <v>0</v>
      </c>
      <c r="BQ49" s="22">
        <f t="shared" si="54"/>
        <v>39491</v>
      </c>
      <c r="BR49" s="22">
        <f t="shared" si="54"/>
        <v>0</v>
      </c>
      <c r="BS49" s="22">
        <f t="shared" si="54"/>
        <v>0</v>
      </c>
      <c r="BT49" s="22">
        <f t="shared" si="54"/>
        <v>0</v>
      </c>
      <c r="BU49" s="22">
        <f t="shared" si="54"/>
        <v>0</v>
      </c>
      <c r="BV49" s="22">
        <f t="shared" si="54"/>
        <v>0</v>
      </c>
      <c r="BW49" s="22">
        <f t="shared" si="54"/>
        <v>0</v>
      </c>
      <c r="BX49" s="22">
        <f t="shared" ref="BX49:CX49" si="57">SUM(BX50+BX52+BX54+BX56+BX58)</f>
        <v>0</v>
      </c>
      <c r="BY49" s="22">
        <f t="shared" si="57"/>
        <v>0</v>
      </c>
      <c r="BZ49" s="22">
        <f t="shared" si="57"/>
        <v>0</v>
      </c>
      <c r="CA49" s="22">
        <f t="shared" si="57"/>
        <v>39491</v>
      </c>
      <c r="CB49" s="22">
        <f t="shared" si="57"/>
        <v>0</v>
      </c>
      <c r="CC49" s="22">
        <f t="shared" si="57"/>
        <v>650789</v>
      </c>
      <c r="CD49" s="22">
        <f t="shared" si="57"/>
        <v>650789</v>
      </c>
      <c r="CE49" s="22">
        <f t="shared" si="57"/>
        <v>555544</v>
      </c>
      <c r="CF49" s="22">
        <f t="shared" si="57"/>
        <v>0</v>
      </c>
      <c r="CG49" s="22">
        <f t="shared" si="57"/>
        <v>555544</v>
      </c>
      <c r="CH49" s="22">
        <f t="shared" si="57"/>
        <v>0</v>
      </c>
      <c r="CI49" s="22">
        <f t="shared" si="57"/>
        <v>0</v>
      </c>
      <c r="CJ49" s="22">
        <f t="shared" si="57"/>
        <v>0</v>
      </c>
      <c r="CK49" s="22">
        <f t="shared" si="57"/>
        <v>0</v>
      </c>
      <c r="CL49" s="22">
        <f t="shared" si="57"/>
        <v>0</v>
      </c>
      <c r="CM49" s="22">
        <f t="shared" si="57"/>
        <v>95245</v>
      </c>
      <c r="CN49" s="22">
        <f t="shared" si="57"/>
        <v>0</v>
      </c>
      <c r="CO49" s="22">
        <f t="shared" si="57"/>
        <v>95245</v>
      </c>
      <c r="CP49" s="22"/>
      <c r="CQ49" s="22">
        <f t="shared" si="57"/>
        <v>0</v>
      </c>
      <c r="CR49" s="22">
        <f t="shared" si="57"/>
        <v>0</v>
      </c>
      <c r="CS49" s="22">
        <f t="shared" si="57"/>
        <v>0</v>
      </c>
      <c r="CT49" s="22">
        <f t="shared" si="57"/>
        <v>0</v>
      </c>
      <c r="CU49" s="22">
        <f t="shared" si="57"/>
        <v>0</v>
      </c>
      <c r="CV49" s="22">
        <f t="shared" si="57"/>
        <v>0</v>
      </c>
      <c r="CW49" s="22">
        <f t="shared" si="57"/>
        <v>0</v>
      </c>
      <c r="CX49" s="23">
        <f t="shared" si="57"/>
        <v>0</v>
      </c>
    </row>
    <row r="50" spans="1:102" ht="15.75" x14ac:dyDescent="0.25">
      <c r="A50" s="7"/>
      <c r="B50" s="8" t="s">
        <v>131</v>
      </c>
      <c r="C50" s="8" t="s">
        <v>1</v>
      </c>
      <c r="D50" s="9" t="s">
        <v>132</v>
      </c>
      <c r="E50" s="10">
        <f t="shared" ref="E50:BT50" si="58">SUM(E51)</f>
        <v>4245966</v>
      </c>
      <c r="F50" s="11">
        <f t="shared" si="58"/>
        <v>4158286</v>
      </c>
      <c r="G50" s="11">
        <f t="shared" si="58"/>
        <v>4146400</v>
      </c>
      <c r="H50" s="11">
        <f t="shared" si="58"/>
        <v>3300399</v>
      </c>
      <c r="I50" s="11">
        <f t="shared" si="58"/>
        <v>451693</v>
      </c>
      <c r="J50" s="11">
        <f t="shared" si="58"/>
        <v>86788</v>
      </c>
      <c r="K50" s="11">
        <f t="shared" si="58"/>
        <v>0</v>
      </c>
      <c r="L50" s="11">
        <f t="shared" si="58"/>
        <v>0</v>
      </c>
      <c r="M50" s="11">
        <f t="shared" si="58"/>
        <v>0</v>
      </c>
      <c r="N50" s="11">
        <f t="shared" si="58"/>
        <v>0</v>
      </c>
      <c r="O50" s="11">
        <f t="shared" si="58"/>
        <v>72559</v>
      </c>
      <c r="P50" s="11">
        <f t="shared" si="58"/>
        <v>14229</v>
      </c>
      <c r="Q50" s="11">
        <f t="shared" si="58"/>
        <v>0</v>
      </c>
      <c r="R50" s="11">
        <f t="shared" si="58"/>
        <v>0</v>
      </c>
      <c r="S50" s="11">
        <f t="shared" si="58"/>
        <v>0</v>
      </c>
      <c r="T50" s="11">
        <f t="shared" si="58"/>
        <v>0</v>
      </c>
      <c r="U50" s="11">
        <f t="shared" si="58"/>
        <v>109399</v>
      </c>
      <c r="V50" s="11">
        <f t="shared" si="58"/>
        <v>99511</v>
      </c>
      <c r="W50" s="11">
        <f t="shared" si="58"/>
        <v>27758</v>
      </c>
      <c r="X50" s="11">
        <f t="shared" si="58"/>
        <v>0</v>
      </c>
      <c r="Y50" s="11">
        <f t="shared" si="58"/>
        <v>53384</v>
      </c>
      <c r="Z50" s="11">
        <f t="shared" si="58"/>
        <v>7163</v>
      </c>
      <c r="AA50" s="11">
        <f t="shared" si="58"/>
        <v>1011</v>
      </c>
      <c r="AB50" s="11">
        <f t="shared" si="58"/>
        <v>0</v>
      </c>
      <c r="AC50" s="11">
        <f t="shared" si="58"/>
        <v>0</v>
      </c>
      <c r="AD50" s="11">
        <f t="shared" si="58"/>
        <v>10195</v>
      </c>
      <c r="AE50" s="11">
        <f t="shared" si="58"/>
        <v>0</v>
      </c>
      <c r="AF50" s="11">
        <f t="shared" si="58"/>
        <v>98610</v>
      </c>
      <c r="AG50" s="11">
        <f t="shared" si="58"/>
        <v>0</v>
      </c>
      <c r="AH50" s="11">
        <f t="shared" si="58"/>
        <v>0</v>
      </c>
      <c r="AI50" s="11">
        <f t="shared" si="58"/>
        <v>651</v>
      </c>
      <c r="AJ50" s="11">
        <f t="shared" si="58"/>
        <v>2464</v>
      </c>
      <c r="AK50" s="11">
        <f t="shared" si="58"/>
        <v>0</v>
      </c>
      <c r="AL50" s="11">
        <f t="shared" si="58"/>
        <v>0</v>
      </c>
      <c r="AM50" s="11">
        <f t="shared" si="58"/>
        <v>0</v>
      </c>
      <c r="AN50" s="11">
        <f t="shared" si="58"/>
        <v>202</v>
      </c>
      <c r="AO50" s="11">
        <f t="shared" si="58"/>
        <v>10125</v>
      </c>
      <c r="AP50" s="11">
        <f t="shared" si="58"/>
        <v>69646</v>
      </c>
      <c r="AQ50" s="11">
        <f t="shared" si="58"/>
        <v>0</v>
      </c>
      <c r="AR50" s="11">
        <f t="shared" si="58"/>
        <v>0</v>
      </c>
      <c r="AS50" s="11">
        <f t="shared" si="58"/>
        <v>0</v>
      </c>
      <c r="AT50" s="11">
        <f t="shared" si="58"/>
        <v>15522</v>
      </c>
      <c r="AU50" s="11">
        <f t="shared" si="58"/>
        <v>0</v>
      </c>
      <c r="AV50" s="11"/>
      <c r="AW50" s="11"/>
      <c r="AX50" s="11">
        <f t="shared" si="58"/>
        <v>0</v>
      </c>
      <c r="AY50" s="11">
        <f t="shared" si="58"/>
        <v>0</v>
      </c>
      <c r="AZ50" s="11">
        <f t="shared" si="58"/>
        <v>0</v>
      </c>
      <c r="BA50" s="11">
        <f t="shared" si="58"/>
        <v>0</v>
      </c>
      <c r="BB50" s="11">
        <f t="shared" si="58"/>
        <v>0</v>
      </c>
      <c r="BC50" s="11">
        <f t="shared" si="58"/>
        <v>11886</v>
      </c>
      <c r="BD50" s="11">
        <f t="shared" si="58"/>
        <v>0</v>
      </c>
      <c r="BE50" s="11">
        <f t="shared" si="58"/>
        <v>0</v>
      </c>
      <c r="BF50" s="11">
        <f t="shared" si="58"/>
        <v>0</v>
      </c>
      <c r="BG50" s="11">
        <f t="shared" si="58"/>
        <v>0</v>
      </c>
      <c r="BH50" s="11">
        <f t="shared" si="58"/>
        <v>0</v>
      </c>
      <c r="BI50" s="11">
        <f t="shared" si="58"/>
        <v>0</v>
      </c>
      <c r="BJ50" s="11">
        <f t="shared" si="58"/>
        <v>0</v>
      </c>
      <c r="BK50" s="11">
        <f t="shared" si="58"/>
        <v>0</v>
      </c>
      <c r="BL50" s="11">
        <f t="shared" si="58"/>
        <v>0</v>
      </c>
      <c r="BM50" s="11">
        <f t="shared" si="58"/>
        <v>0</v>
      </c>
      <c r="BN50" s="11">
        <f t="shared" si="58"/>
        <v>0</v>
      </c>
      <c r="BO50" s="11">
        <f t="shared" si="58"/>
        <v>0</v>
      </c>
      <c r="BP50" s="11">
        <f t="shared" si="58"/>
        <v>0</v>
      </c>
      <c r="BQ50" s="11">
        <f t="shared" si="58"/>
        <v>11886</v>
      </c>
      <c r="BR50" s="11">
        <f t="shared" si="58"/>
        <v>0</v>
      </c>
      <c r="BS50" s="11">
        <f t="shared" si="58"/>
        <v>0</v>
      </c>
      <c r="BT50" s="11">
        <f t="shared" si="58"/>
        <v>0</v>
      </c>
      <c r="BU50" s="11">
        <f t="shared" ref="BU50:CX50" si="59">SUM(BU51)</f>
        <v>0</v>
      </c>
      <c r="BV50" s="11">
        <f t="shared" si="59"/>
        <v>0</v>
      </c>
      <c r="BW50" s="11">
        <f t="shared" si="59"/>
        <v>0</v>
      </c>
      <c r="BX50" s="11">
        <f t="shared" si="59"/>
        <v>0</v>
      </c>
      <c r="BY50" s="11">
        <f t="shared" si="59"/>
        <v>0</v>
      </c>
      <c r="BZ50" s="11">
        <f t="shared" si="59"/>
        <v>0</v>
      </c>
      <c r="CA50" s="11">
        <f t="shared" si="59"/>
        <v>11886</v>
      </c>
      <c r="CB50" s="11">
        <f t="shared" si="59"/>
        <v>0</v>
      </c>
      <c r="CC50" s="11">
        <f t="shared" si="59"/>
        <v>87680</v>
      </c>
      <c r="CD50" s="11">
        <f t="shared" si="59"/>
        <v>87680</v>
      </c>
      <c r="CE50" s="11">
        <f t="shared" si="59"/>
        <v>87680</v>
      </c>
      <c r="CF50" s="11">
        <f t="shared" si="59"/>
        <v>0</v>
      </c>
      <c r="CG50" s="11">
        <f t="shared" si="59"/>
        <v>87680</v>
      </c>
      <c r="CH50" s="11">
        <f t="shared" si="59"/>
        <v>0</v>
      </c>
      <c r="CI50" s="11">
        <f t="shared" si="59"/>
        <v>0</v>
      </c>
      <c r="CJ50" s="11">
        <f t="shared" si="59"/>
        <v>0</v>
      </c>
      <c r="CK50" s="11">
        <f t="shared" si="59"/>
        <v>0</v>
      </c>
      <c r="CL50" s="11">
        <f t="shared" si="59"/>
        <v>0</v>
      </c>
      <c r="CM50" s="11">
        <f t="shared" si="59"/>
        <v>0</v>
      </c>
      <c r="CN50" s="11">
        <f t="shared" si="59"/>
        <v>0</v>
      </c>
      <c r="CO50" s="11">
        <f t="shared" si="59"/>
        <v>0</v>
      </c>
      <c r="CP50" s="11"/>
      <c r="CQ50" s="11">
        <f t="shared" si="59"/>
        <v>0</v>
      </c>
      <c r="CR50" s="11">
        <f t="shared" si="59"/>
        <v>0</v>
      </c>
      <c r="CS50" s="11">
        <f t="shared" si="59"/>
        <v>0</v>
      </c>
      <c r="CT50" s="11">
        <f t="shared" si="59"/>
        <v>0</v>
      </c>
      <c r="CU50" s="11">
        <f t="shared" si="59"/>
        <v>0</v>
      </c>
      <c r="CV50" s="11">
        <f t="shared" si="59"/>
        <v>0</v>
      </c>
      <c r="CW50" s="11">
        <f t="shared" si="59"/>
        <v>0</v>
      </c>
      <c r="CX50" s="12">
        <f t="shared" si="59"/>
        <v>0</v>
      </c>
    </row>
    <row r="51" spans="1:102" ht="15.75" x14ac:dyDescent="0.25">
      <c r="A51" s="13"/>
      <c r="B51" s="14" t="s">
        <v>1</v>
      </c>
      <c r="C51" s="14" t="s">
        <v>133</v>
      </c>
      <c r="D51" s="15" t="s">
        <v>134</v>
      </c>
      <c r="E51" s="10">
        <f>SUM(F51+CC51+CU51)</f>
        <v>4245966</v>
      </c>
      <c r="F51" s="11">
        <f>SUM(G51+BC51)</f>
        <v>4158286</v>
      </c>
      <c r="G51" s="11">
        <f>SUM(H51+I51+J51+Q51+T51+U51+V51+AF51+AE51)</f>
        <v>4146400</v>
      </c>
      <c r="H51" s="16">
        <f>3200453+99946</f>
        <v>3300399</v>
      </c>
      <c r="I51" s="16">
        <f>426706+24987</f>
        <v>451693</v>
      </c>
      <c r="J51" s="11">
        <f>SUM(K51:P51)</f>
        <v>86788</v>
      </c>
      <c r="K51" s="11">
        <v>0</v>
      </c>
      <c r="L51" s="11"/>
      <c r="M51" s="11">
        <v>0</v>
      </c>
      <c r="N51" s="11">
        <v>0</v>
      </c>
      <c r="O51" s="16">
        <v>72559</v>
      </c>
      <c r="P51" s="16">
        <v>14229</v>
      </c>
      <c r="Q51" s="11">
        <f t="shared" si="6"/>
        <v>0</v>
      </c>
      <c r="R51" s="11">
        <v>0</v>
      </c>
      <c r="S51" s="11">
        <v>0</v>
      </c>
      <c r="T51" s="11">
        <v>0</v>
      </c>
      <c r="U51" s="11">
        <v>109399</v>
      </c>
      <c r="V51" s="11">
        <f>SUM(W51:AD51)</f>
        <v>99511</v>
      </c>
      <c r="W51" s="16">
        <v>27758</v>
      </c>
      <c r="X51" s="16"/>
      <c r="Y51" s="16">
        <v>53384</v>
      </c>
      <c r="Z51" s="16">
        <v>7163</v>
      </c>
      <c r="AA51" s="16">
        <v>1011</v>
      </c>
      <c r="AB51" s="16"/>
      <c r="AC51" s="16"/>
      <c r="AD51" s="16">
        <v>10195</v>
      </c>
      <c r="AE51" s="11"/>
      <c r="AF51" s="11">
        <f>SUM(AG51:BB51)</f>
        <v>98610</v>
      </c>
      <c r="AG51" s="11">
        <v>0</v>
      </c>
      <c r="AH51" s="11"/>
      <c r="AI51" s="16">
        <v>651</v>
      </c>
      <c r="AJ51" s="16">
        <v>2464</v>
      </c>
      <c r="AK51" s="16"/>
      <c r="AL51" s="16"/>
      <c r="AM51" s="16"/>
      <c r="AN51" s="16">
        <v>202</v>
      </c>
      <c r="AO51" s="16">
        <v>10125</v>
      </c>
      <c r="AP51" s="16">
        <v>69646</v>
      </c>
      <c r="AQ51" s="16"/>
      <c r="AR51" s="16"/>
      <c r="AS51" s="16"/>
      <c r="AT51" s="16">
        <v>15522</v>
      </c>
      <c r="AU51" s="16"/>
      <c r="AV51" s="16"/>
      <c r="AW51" s="16"/>
      <c r="AX51" s="16"/>
      <c r="AY51" s="16"/>
      <c r="AZ51" s="16"/>
      <c r="BA51" s="16"/>
      <c r="BB51" s="16"/>
      <c r="BC51" s="11">
        <f>SUM(BD51+BH51+BL51+BM51+BN51+BQ51)</f>
        <v>11886</v>
      </c>
      <c r="BD51" s="11">
        <f>SUM(BE51:BG51)</f>
        <v>0</v>
      </c>
      <c r="BE51" s="11">
        <v>0</v>
      </c>
      <c r="BF51" s="11">
        <v>0</v>
      </c>
      <c r="BG51" s="11">
        <v>0</v>
      </c>
      <c r="BH51" s="11">
        <f t="shared" si="7"/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f t="shared" si="8"/>
        <v>0</v>
      </c>
      <c r="BO51" s="11">
        <v>0</v>
      </c>
      <c r="BP51" s="11">
        <v>0</v>
      </c>
      <c r="BQ51" s="11">
        <f t="shared" si="9"/>
        <v>11886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11886</v>
      </c>
      <c r="CB51" s="11">
        <v>0</v>
      </c>
      <c r="CC51" s="11">
        <f>SUM(CD51+CT51)</f>
        <v>87680</v>
      </c>
      <c r="CD51" s="11">
        <f>SUM(CE51+CH51+CM51)</f>
        <v>87680</v>
      </c>
      <c r="CE51" s="11">
        <f t="shared" si="10"/>
        <v>87680</v>
      </c>
      <c r="CF51" s="11">
        <v>0</v>
      </c>
      <c r="CG51" s="11">
        <v>87680</v>
      </c>
      <c r="CH51" s="11">
        <f>SUM(CI51:CL51)</f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f>SUM(CN51:CQ51)</f>
        <v>0</v>
      </c>
      <c r="CN51" s="11">
        <v>0</v>
      </c>
      <c r="CO51" s="11">
        <v>0</v>
      </c>
      <c r="CP51" s="11"/>
      <c r="CQ51" s="11">
        <v>0</v>
      </c>
      <c r="CR51" s="11">
        <v>0</v>
      </c>
      <c r="CS51" s="11">
        <v>0</v>
      </c>
      <c r="CT51" s="11">
        <v>0</v>
      </c>
      <c r="CU51" s="11">
        <f t="shared" si="11"/>
        <v>0</v>
      </c>
      <c r="CV51" s="11">
        <f t="shared" si="12"/>
        <v>0</v>
      </c>
      <c r="CW51" s="11">
        <v>0</v>
      </c>
      <c r="CX51" s="12">
        <v>0</v>
      </c>
    </row>
    <row r="52" spans="1:102" ht="15.75" x14ac:dyDescent="0.25">
      <c r="A52" s="7"/>
      <c r="B52" s="8" t="s">
        <v>135</v>
      </c>
      <c r="C52" s="8" t="s">
        <v>1</v>
      </c>
      <c r="D52" s="9" t="s">
        <v>136</v>
      </c>
      <c r="E52" s="10">
        <f t="shared" ref="E52:AL52" si="60">SUM(E53)</f>
        <v>13094293</v>
      </c>
      <c r="F52" s="11">
        <f t="shared" si="60"/>
        <v>13018675</v>
      </c>
      <c r="G52" s="11">
        <f t="shared" si="60"/>
        <v>13018675</v>
      </c>
      <c r="H52" s="11">
        <f t="shared" si="60"/>
        <v>11145449</v>
      </c>
      <c r="I52" s="11">
        <f t="shared" si="60"/>
        <v>1026228</v>
      </c>
      <c r="J52" s="11">
        <f t="shared" si="60"/>
        <v>257946</v>
      </c>
      <c r="K52" s="11">
        <f t="shared" si="60"/>
        <v>0</v>
      </c>
      <c r="L52" s="11">
        <f t="shared" si="60"/>
        <v>0</v>
      </c>
      <c r="M52" s="11">
        <f t="shared" si="60"/>
        <v>0</v>
      </c>
      <c r="N52" s="11">
        <f t="shared" si="60"/>
        <v>0</v>
      </c>
      <c r="O52" s="11">
        <f t="shared" si="60"/>
        <v>187969</v>
      </c>
      <c r="P52" s="11">
        <f t="shared" si="60"/>
        <v>69977</v>
      </c>
      <c r="Q52" s="11">
        <f t="shared" si="60"/>
        <v>1140</v>
      </c>
      <c r="R52" s="11">
        <f t="shared" si="60"/>
        <v>1140</v>
      </c>
      <c r="S52" s="11">
        <f t="shared" si="60"/>
        <v>0</v>
      </c>
      <c r="T52" s="11">
        <f t="shared" si="60"/>
        <v>0</v>
      </c>
      <c r="U52" s="11">
        <f t="shared" si="60"/>
        <v>30377</v>
      </c>
      <c r="V52" s="11">
        <f t="shared" si="60"/>
        <v>199287</v>
      </c>
      <c r="W52" s="11">
        <f t="shared" si="60"/>
        <v>18595</v>
      </c>
      <c r="X52" s="11">
        <f t="shared" si="60"/>
        <v>116059</v>
      </c>
      <c r="Y52" s="11">
        <f t="shared" si="60"/>
        <v>55203</v>
      </c>
      <c r="Z52" s="11">
        <f t="shared" si="60"/>
        <v>6610</v>
      </c>
      <c r="AA52" s="11">
        <f t="shared" si="60"/>
        <v>2820</v>
      </c>
      <c r="AB52" s="11">
        <f t="shared" si="60"/>
        <v>0</v>
      </c>
      <c r="AC52" s="11">
        <f t="shared" si="60"/>
        <v>0</v>
      </c>
      <c r="AD52" s="11">
        <f t="shared" si="60"/>
        <v>0</v>
      </c>
      <c r="AE52" s="11">
        <f t="shared" si="60"/>
        <v>0</v>
      </c>
      <c r="AF52" s="11">
        <f t="shared" si="60"/>
        <v>358248</v>
      </c>
      <c r="AG52" s="11">
        <f t="shared" si="60"/>
        <v>0</v>
      </c>
      <c r="AH52" s="11">
        <f t="shared" si="60"/>
        <v>0</v>
      </c>
      <c r="AI52" s="11">
        <f t="shared" si="60"/>
        <v>738</v>
      </c>
      <c r="AJ52" s="11">
        <f t="shared" si="60"/>
        <v>0</v>
      </c>
      <c r="AK52" s="11">
        <f t="shared" si="60"/>
        <v>0</v>
      </c>
      <c r="AL52" s="11">
        <f t="shared" si="60"/>
        <v>0</v>
      </c>
      <c r="AM52" s="11">
        <f t="shared" ref="AM52:CX52" si="61">SUM(AM53)</f>
        <v>0</v>
      </c>
      <c r="AN52" s="11">
        <f t="shared" si="61"/>
        <v>0</v>
      </c>
      <c r="AO52" s="11">
        <f t="shared" si="61"/>
        <v>26228</v>
      </c>
      <c r="AP52" s="11">
        <f t="shared" si="61"/>
        <v>57424</v>
      </c>
      <c r="AQ52" s="11">
        <f t="shared" si="61"/>
        <v>0</v>
      </c>
      <c r="AR52" s="11">
        <f t="shared" si="61"/>
        <v>0</v>
      </c>
      <c r="AS52" s="11">
        <f t="shared" si="61"/>
        <v>0</v>
      </c>
      <c r="AT52" s="11">
        <f t="shared" si="61"/>
        <v>32532</v>
      </c>
      <c r="AU52" s="11">
        <f t="shared" si="61"/>
        <v>735</v>
      </c>
      <c r="AV52" s="11"/>
      <c r="AW52" s="11"/>
      <c r="AX52" s="11">
        <f t="shared" si="61"/>
        <v>0</v>
      </c>
      <c r="AY52" s="11">
        <f t="shared" si="61"/>
        <v>0</v>
      </c>
      <c r="AZ52" s="11">
        <f t="shared" si="61"/>
        <v>0</v>
      </c>
      <c r="BA52" s="11">
        <f t="shared" si="61"/>
        <v>0</v>
      </c>
      <c r="BB52" s="11">
        <f t="shared" si="61"/>
        <v>240591</v>
      </c>
      <c r="BC52" s="11">
        <f t="shared" si="61"/>
        <v>0</v>
      </c>
      <c r="BD52" s="11">
        <f t="shared" si="61"/>
        <v>0</v>
      </c>
      <c r="BE52" s="11">
        <f t="shared" si="61"/>
        <v>0</v>
      </c>
      <c r="BF52" s="11">
        <f t="shared" si="61"/>
        <v>0</v>
      </c>
      <c r="BG52" s="11">
        <f t="shared" si="61"/>
        <v>0</v>
      </c>
      <c r="BH52" s="11">
        <f t="shared" si="61"/>
        <v>0</v>
      </c>
      <c r="BI52" s="11">
        <f t="shared" si="61"/>
        <v>0</v>
      </c>
      <c r="BJ52" s="11">
        <f t="shared" si="61"/>
        <v>0</v>
      </c>
      <c r="BK52" s="11">
        <f t="shared" si="61"/>
        <v>0</v>
      </c>
      <c r="BL52" s="11">
        <f t="shared" si="61"/>
        <v>0</v>
      </c>
      <c r="BM52" s="11">
        <f t="shared" si="61"/>
        <v>0</v>
      </c>
      <c r="BN52" s="11">
        <f t="shared" si="61"/>
        <v>0</v>
      </c>
      <c r="BO52" s="11">
        <f t="shared" si="61"/>
        <v>0</v>
      </c>
      <c r="BP52" s="11">
        <f t="shared" si="61"/>
        <v>0</v>
      </c>
      <c r="BQ52" s="11">
        <f t="shared" si="61"/>
        <v>0</v>
      </c>
      <c r="BR52" s="11">
        <f t="shared" si="61"/>
        <v>0</v>
      </c>
      <c r="BS52" s="11">
        <f t="shared" si="61"/>
        <v>0</v>
      </c>
      <c r="BT52" s="11">
        <f t="shared" si="61"/>
        <v>0</v>
      </c>
      <c r="BU52" s="11">
        <f t="shared" si="61"/>
        <v>0</v>
      </c>
      <c r="BV52" s="11">
        <f t="shared" si="61"/>
        <v>0</v>
      </c>
      <c r="BW52" s="11">
        <f t="shared" si="61"/>
        <v>0</v>
      </c>
      <c r="BX52" s="11">
        <f t="shared" si="61"/>
        <v>0</v>
      </c>
      <c r="BY52" s="11">
        <f t="shared" si="61"/>
        <v>0</v>
      </c>
      <c r="BZ52" s="11">
        <f t="shared" si="61"/>
        <v>0</v>
      </c>
      <c r="CA52" s="11">
        <f t="shared" si="61"/>
        <v>0</v>
      </c>
      <c r="CB52" s="11">
        <f t="shared" si="61"/>
        <v>0</v>
      </c>
      <c r="CC52" s="11">
        <f t="shared" si="61"/>
        <v>75618</v>
      </c>
      <c r="CD52" s="11">
        <f t="shared" si="61"/>
        <v>75618</v>
      </c>
      <c r="CE52" s="11">
        <f t="shared" si="61"/>
        <v>75618</v>
      </c>
      <c r="CF52" s="11">
        <f t="shared" si="61"/>
        <v>0</v>
      </c>
      <c r="CG52" s="11">
        <f t="shared" si="61"/>
        <v>75618</v>
      </c>
      <c r="CH52" s="11">
        <f t="shared" si="61"/>
        <v>0</v>
      </c>
      <c r="CI52" s="11">
        <f t="shared" si="61"/>
        <v>0</v>
      </c>
      <c r="CJ52" s="11">
        <f t="shared" si="61"/>
        <v>0</v>
      </c>
      <c r="CK52" s="11">
        <f t="shared" si="61"/>
        <v>0</v>
      </c>
      <c r="CL52" s="11">
        <f t="shared" si="61"/>
        <v>0</v>
      </c>
      <c r="CM52" s="11">
        <f t="shared" si="61"/>
        <v>0</v>
      </c>
      <c r="CN52" s="11">
        <f t="shared" si="61"/>
        <v>0</v>
      </c>
      <c r="CO52" s="11">
        <f t="shared" si="61"/>
        <v>0</v>
      </c>
      <c r="CP52" s="11"/>
      <c r="CQ52" s="11">
        <f t="shared" si="61"/>
        <v>0</v>
      </c>
      <c r="CR52" s="11">
        <f t="shared" si="61"/>
        <v>0</v>
      </c>
      <c r="CS52" s="11">
        <f t="shared" si="61"/>
        <v>0</v>
      </c>
      <c r="CT52" s="11">
        <f t="shared" si="61"/>
        <v>0</v>
      </c>
      <c r="CU52" s="11">
        <f t="shared" si="61"/>
        <v>0</v>
      </c>
      <c r="CV52" s="11">
        <f t="shared" si="61"/>
        <v>0</v>
      </c>
      <c r="CW52" s="11">
        <f t="shared" si="61"/>
        <v>0</v>
      </c>
      <c r="CX52" s="12">
        <f t="shared" si="61"/>
        <v>0</v>
      </c>
    </row>
    <row r="53" spans="1:102" ht="15.75" x14ac:dyDescent="0.25">
      <c r="A53" s="13"/>
      <c r="B53" s="14" t="s">
        <v>1</v>
      </c>
      <c r="C53" s="14" t="s">
        <v>137</v>
      </c>
      <c r="D53" s="15" t="s">
        <v>138</v>
      </c>
      <c r="E53" s="10">
        <f>SUM(F53+CC53+CU53)</f>
        <v>13094293</v>
      </c>
      <c r="F53" s="11">
        <f>SUM(G53+BC53)</f>
        <v>13018675</v>
      </c>
      <c r="G53" s="11">
        <f>SUM(H53+I53+J53+Q53+T53+U53+V53+AF53+AE53)</f>
        <v>13018675</v>
      </c>
      <c r="H53" s="11">
        <f>10924654+220795</f>
        <v>11145449</v>
      </c>
      <c r="I53" s="11">
        <f>971029+55199</f>
        <v>1026228</v>
      </c>
      <c r="J53" s="11">
        <f>SUM(K53:P53)</f>
        <v>257946</v>
      </c>
      <c r="K53" s="11">
        <v>0</v>
      </c>
      <c r="L53" s="11"/>
      <c r="M53" s="11">
        <v>0</v>
      </c>
      <c r="N53" s="11">
        <v>0</v>
      </c>
      <c r="O53" s="11">
        <v>187969</v>
      </c>
      <c r="P53" s="11">
        <f>49977+20000</f>
        <v>69977</v>
      </c>
      <c r="Q53" s="11">
        <f t="shared" si="6"/>
        <v>1140</v>
      </c>
      <c r="R53" s="11">
        <v>1140</v>
      </c>
      <c r="S53" s="11">
        <v>0</v>
      </c>
      <c r="T53" s="11">
        <v>0</v>
      </c>
      <c r="U53" s="16">
        <f>100377-70000</f>
        <v>30377</v>
      </c>
      <c r="V53" s="11">
        <f>SUM(W53:AD53)</f>
        <v>199287</v>
      </c>
      <c r="W53" s="16">
        <v>18595</v>
      </c>
      <c r="X53" s="16">
        <f>52086+63973</f>
        <v>116059</v>
      </c>
      <c r="Y53" s="16">
        <f>26503+28700</f>
        <v>55203</v>
      </c>
      <c r="Z53" s="16">
        <v>6610</v>
      </c>
      <c r="AA53" s="16">
        <v>2820</v>
      </c>
      <c r="AB53" s="11">
        <v>0</v>
      </c>
      <c r="AC53" s="11">
        <v>0</v>
      </c>
      <c r="AD53" s="11">
        <v>0</v>
      </c>
      <c r="AE53" s="11">
        <v>0</v>
      </c>
      <c r="AF53" s="11">
        <f>SUM(AG53:BB53)</f>
        <v>358248</v>
      </c>
      <c r="AG53" s="11">
        <v>0</v>
      </c>
      <c r="AH53" s="11"/>
      <c r="AI53" s="16">
        <v>738</v>
      </c>
      <c r="AJ53" s="16"/>
      <c r="AK53" s="16"/>
      <c r="AL53" s="16"/>
      <c r="AM53" s="16"/>
      <c r="AN53" s="16"/>
      <c r="AO53" s="16">
        <f>6228+20000</f>
        <v>26228</v>
      </c>
      <c r="AP53" s="16">
        <v>57424</v>
      </c>
      <c r="AQ53" s="16"/>
      <c r="AR53" s="16"/>
      <c r="AS53" s="16"/>
      <c r="AT53" s="16">
        <v>32532</v>
      </c>
      <c r="AU53" s="16">
        <v>735</v>
      </c>
      <c r="AV53" s="16"/>
      <c r="AW53" s="11"/>
      <c r="AX53" s="11">
        <v>0</v>
      </c>
      <c r="AY53" s="11">
        <v>0</v>
      </c>
      <c r="AZ53" s="11">
        <v>0</v>
      </c>
      <c r="BA53" s="11">
        <v>0</v>
      </c>
      <c r="BB53" s="11">
        <f>591+30000+210000</f>
        <v>240591</v>
      </c>
      <c r="BC53" s="11">
        <f>SUM(BD53+BH53+BL53+BM53+BN53+BQ53)</f>
        <v>0</v>
      </c>
      <c r="BD53" s="11">
        <f>SUM(BE53:BG53)</f>
        <v>0</v>
      </c>
      <c r="BE53" s="11">
        <v>0</v>
      </c>
      <c r="BF53" s="11">
        <v>0</v>
      </c>
      <c r="BG53" s="11">
        <v>0</v>
      </c>
      <c r="BH53" s="11">
        <f t="shared" si="7"/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f t="shared" si="8"/>
        <v>0</v>
      </c>
      <c r="BO53" s="11">
        <v>0</v>
      </c>
      <c r="BP53" s="11">
        <v>0</v>
      </c>
      <c r="BQ53" s="11">
        <f t="shared" si="9"/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f>SUM(CD53+CT53)</f>
        <v>75618</v>
      </c>
      <c r="CD53" s="11">
        <f>SUM(CE53+CH53+CM53)</f>
        <v>75618</v>
      </c>
      <c r="CE53" s="11">
        <f t="shared" si="10"/>
        <v>75618</v>
      </c>
      <c r="CF53" s="11">
        <v>0</v>
      </c>
      <c r="CG53" s="11">
        <v>75618</v>
      </c>
      <c r="CH53" s="11">
        <f>SUM(CI53:CL53)</f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f>SUM(CN53:CQ53)</f>
        <v>0</v>
      </c>
      <c r="CN53" s="11">
        <v>0</v>
      </c>
      <c r="CO53" s="11">
        <v>0</v>
      </c>
      <c r="CP53" s="11"/>
      <c r="CQ53" s="11">
        <v>0</v>
      </c>
      <c r="CR53" s="11">
        <v>0</v>
      </c>
      <c r="CS53" s="11">
        <v>0</v>
      </c>
      <c r="CT53" s="11">
        <v>0</v>
      </c>
      <c r="CU53" s="11">
        <f t="shared" si="11"/>
        <v>0</v>
      </c>
      <c r="CV53" s="11">
        <f t="shared" si="12"/>
        <v>0</v>
      </c>
      <c r="CW53" s="11">
        <v>0</v>
      </c>
      <c r="CX53" s="12">
        <v>0</v>
      </c>
    </row>
    <row r="54" spans="1:102" ht="15.75" x14ac:dyDescent="0.25">
      <c r="A54" s="7"/>
      <c r="B54" s="8" t="s">
        <v>139</v>
      </c>
      <c r="C54" s="8" t="s">
        <v>1</v>
      </c>
      <c r="D54" s="9" t="s">
        <v>140</v>
      </c>
      <c r="E54" s="10">
        <f t="shared" ref="E54:AL54" si="62">SUM(E55)</f>
        <v>26008824</v>
      </c>
      <c r="F54" s="11">
        <f t="shared" si="62"/>
        <v>25575958</v>
      </c>
      <c r="G54" s="11">
        <f t="shared" si="62"/>
        <v>25575958</v>
      </c>
      <c r="H54" s="11">
        <f t="shared" si="62"/>
        <v>20392527</v>
      </c>
      <c r="I54" s="11">
        <f t="shared" si="62"/>
        <v>2526988</v>
      </c>
      <c r="J54" s="11">
        <f t="shared" si="62"/>
        <v>807490</v>
      </c>
      <c r="K54" s="11">
        <f t="shared" si="62"/>
        <v>0</v>
      </c>
      <c r="L54" s="11">
        <f t="shared" si="62"/>
        <v>13170</v>
      </c>
      <c r="M54" s="11">
        <f t="shared" si="62"/>
        <v>0</v>
      </c>
      <c r="N54" s="11">
        <f t="shared" si="62"/>
        <v>0</v>
      </c>
      <c r="O54" s="11">
        <f t="shared" si="62"/>
        <v>501253</v>
      </c>
      <c r="P54" s="11">
        <f t="shared" si="62"/>
        <v>293067</v>
      </c>
      <c r="Q54" s="11">
        <f t="shared" si="62"/>
        <v>0</v>
      </c>
      <c r="R54" s="11">
        <f t="shared" si="62"/>
        <v>0</v>
      </c>
      <c r="S54" s="11">
        <f t="shared" si="62"/>
        <v>0</v>
      </c>
      <c r="T54" s="11">
        <f t="shared" si="62"/>
        <v>0</v>
      </c>
      <c r="U54" s="11">
        <f t="shared" si="62"/>
        <v>634899</v>
      </c>
      <c r="V54" s="11">
        <f t="shared" si="62"/>
        <v>322938</v>
      </c>
      <c r="W54" s="11">
        <f t="shared" si="62"/>
        <v>43164</v>
      </c>
      <c r="X54" s="11">
        <f t="shared" si="62"/>
        <v>109711</v>
      </c>
      <c r="Y54" s="11">
        <f t="shared" si="62"/>
        <v>102193</v>
      </c>
      <c r="Z54" s="11">
        <f t="shared" si="62"/>
        <v>29036</v>
      </c>
      <c r="AA54" s="11">
        <f t="shared" si="62"/>
        <v>10563</v>
      </c>
      <c r="AB54" s="11">
        <f t="shared" si="62"/>
        <v>0</v>
      </c>
      <c r="AC54" s="11">
        <f t="shared" si="62"/>
        <v>0</v>
      </c>
      <c r="AD54" s="11">
        <f t="shared" si="62"/>
        <v>28271</v>
      </c>
      <c r="AE54" s="11">
        <f t="shared" si="62"/>
        <v>0</v>
      </c>
      <c r="AF54" s="11">
        <f t="shared" si="62"/>
        <v>891116</v>
      </c>
      <c r="AG54" s="11">
        <f t="shared" si="62"/>
        <v>0</v>
      </c>
      <c r="AH54" s="11">
        <f t="shared" si="62"/>
        <v>0</v>
      </c>
      <c r="AI54" s="11">
        <f t="shared" si="62"/>
        <v>22450</v>
      </c>
      <c r="AJ54" s="11">
        <f t="shared" si="62"/>
        <v>55743</v>
      </c>
      <c r="AK54" s="11">
        <f t="shared" si="62"/>
        <v>0</v>
      </c>
      <c r="AL54" s="11">
        <f t="shared" si="62"/>
        <v>5427</v>
      </c>
      <c r="AM54" s="11">
        <f t="shared" ref="AM54:CX54" si="63">SUM(AM55)</f>
        <v>4230</v>
      </c>
      <c r="AN54" s="11">
        <f t="shared" si="63"/>
        <v>770</v>
      </c>
      <c r="AO54" s="11">
        <f t="shared" si="63"/>
        <v>73215</v>
      </c>
      <c r="AP54" s="11">
        <f t="shared" si="63"/>
        <v>5238</v>
      </c>
      <c r="AQ54" s="11">
        <f t="shared" si="63"/>
        <v>15984</v>
      </c>
      <c r="AR54" s="11">
        <f t="shared" si="63"/>
        <v>0</v>
      </c>
      <c r="AS54" s="11">
        <f t="shared" si="63"/>
        <v>0</v>
      </c>
      <c r="AT54" s="11">
        <f t="shared" si="63"/>
        <v>598035</v>
      </c>
      <c r="AU54" s="11">
        <f t="shared" si="63"/>
        <v>0</v>
      </c>
      <c r="AV54" s="11"/>
      <c r="AW54" s="11"/>
      <c r="AX54" s="11">
        <f t="shared" si="63"/>
        <v>0</v>
      </c>
      <c r="AY54" s="11">
        <f t="shared" si="63"/>
        <v>0</v>
      </c>
      <c r="AZ54" s="11">
        <f t="shared" si="63"/>
        <v>0</v>
      </c>
      <c r="BA54" s="11">
        <f t="shared" si="63"/>
        <v>77687</v>
      </c>
      <c r="BB54" s="11">
        <f t="shared" si="63"/>
        <v>32337</v>
      </c>
      <c r="BC54" s="11">
        <f t="shared" si="63"/>
        <v>0</v>
      </c>
      <c r="BD54" s="11">
        <f t="shared" si="63"/>
        <v>0</v>
      </c>
      <c r="BE54" s="11">
        <f t="shared" si="63"/>
        <v>0</v>
      </c>
      <c r="BF54" s="11">
        <f t="shared" si="63"/>
        <v>0</v>
      </c>
      <c r="BG54" s="11">
        <f t="shared" si="63"/>
        <v>0</v>
      </c>
      <c r="BH54" s="11">
        <f t="shared" si="63"/>
        <v>0</v>
      </c>
      <c r="BI54" s="11">
        <f t="shared" si="63"/>
        <v>0</v>
      </c>
      <c r="BJ54" s="11">
        <f t="shared" si="63"/>
        <v>0</v>
      </c>
      <c r="BK54" s="11">
        <f t="shared" si="63"/>
        <v>0</v>
      </c>
      <c r="BL54" s="11">
        <f t="shared" si="63"/>
        <v>0</v>
      </c>
      <c r="BM54" s="11">
        <f t="shared" si="63"/>
        <v>0</v>
      </c>
      <c r="BN54" s="11">
        <f t="shared" si="63"/>
        <v>0</v>
      </c>
      <c r="BO54" s="11">
        <f t="shared" si="63"/>
        <v>0</v>
      </c>
      <c r="BP54" s="11">
        <f t="shared" si="63"/>
        <v>0</v>
      </c>
      <c r="BQ54" s="11">
        <f t="shared" si="63"/>
        <v>0</v>
      </c>
      <c r="BR54" s="11">
        <f t="shared" si="63"/>
        <v>0</v>
      </c>
      <c r="BS54" s="11">
        <f t="shared" si="63"/>
        <v>0</v>
      </c>
      <c r="BT54" s="11">
        <f t="shared" si="63"/>
        <v>0</v>
      </c>
      <c r="BU54" s="11">
        <f t="shared" si="63"/>
        <v>0</v>
      </c>
      <c r="BV54" s="11">
        <f t="shared" si="63"/>
        <v>0</v>
      </c>
      <c r="BW54" s="11">
        <f t="shared" si="63"/>
        <v>0</v>
      </c>
      <c r="BX54" s="11">
        <f t="shared" si="63"/>
        <v>0</v>
      </c>
      <c r="BY54" s="11">
        <f t="shared" si="63"/>
        <v>0</v>
      </c>
      <c r="BZ54" s="11">
        <f t="shared" si="63"/>
        <v>0</v>
      </c>
      <c r="CA54" s="11">
        <f t="shared" si="63"/>
        <v>0</v>
      </c>
      <c r="CB54" s="11">
        <f t="shared" si="63"/>
        <v>0</v>
      </c>
      <c r="CC54" s="11">
        <f t="shared" si="63"/>
        <v>432866</v>
      </c>
      <c r="CD54" s="11">
        <f t="shared" si="63"/>
        <v>432866</v>
      </c>
      <c r="CE54" s="11">
        <f t="shared" si="63"/>
        <v>337621</v>
      </c>
      <c r="CF54" s="11">
        <f t="shared" si="63"/>
        <v>0</v>
      </c>
      <c r="CG54" s="11">
        <f t="shared" si="63"/>
        <v>337621</v>
      </c>
      <c r="CH54" s="11">
        <f t="shared" si="63"/>
        <v>0</v>
      </c>
      <c r="CI54" s="11">
        <f t="shared" si="63"/>
        <v>0</v>
      </c>
      <c r="CJ54" s="11">
        <f t="shared" si="63"/>
        <v>0</v>
      </c>
      <c r="CK54" s="11">
        <f t="shared" si="63"/>
        <v>0</v>
      </c>
      <c r="CL54" s="11">
        <f t="shared" si="63"/>
        <v>0</v>
      </c>
      <c r="CM54" s="11">
        <f t="shared" si="63"/>
        <v>95245</v>
      </c>
      <c r="CN54" s="11">
        <f t="shared" si="63"/>
        <v>0</v>
      </c>
      <c r="CO54" s="11">
        <f t="shared" si="63"/>
        <v>95245</v>
      </c>
      <c r="CP54" s="11"/>
      <c r="CQ54" s="11">
        <f t="shared" si="63"/>
        <v>0</v>
      </c>
      <c r="CR54" s="11">
        <f t="shared" si="63"/>
        <v>0</v>
      </c>
      <c r="CS54" s="11">
        <f t="shared" si="63"/>
        <v>0</v>
      </c>
      <c r="CT54" s="11">
        <f t="shared" si="63"/>
        <v>0</v>
      </c>
      <c r="CU54" s="11">
        <f t="shared" si="63"/>
        <v>0</v>
      </c>
      <c r="CV54" s="11">
        <f t="shared" si="63"/>
        <v>0</v>
      </c>
      <c r="CW54" s="11">
        <f t="shared" si="63"/>
        <v>0</v>
      </c>
      <c r="CX54" s="12">
        <f t="shared" si="63"/>
        <v>0</v>
      </c>
    </row>
    <row r="55" spans="1:102" ht="31.5" x14ac:dyDescent="0.25">
      <c r="A55" s="13"/>
      <c r="B55" s="14" t="s">
        <v>1</v>
      </c>
      <c r="C55" s="14" t="s">
        <v>141</v>
      </c>
      <c r="D55" s="15" t="s">
        <v>142</v>
      </c>
      <c r="E55" s="10">
        <f>SUM(F55+CC55+CU55)</f>
        <v>26008824</v>
      </c>
      <c r="F55" s="11">
        <f>SUM(G55+BC55)</f>
        <v>25575958</v>
      </c>
      <c r="G55" s="11">
        <f>SUM(H55+I55+J55+Q55+T55+U55+V55+AF55+AE55)</f>
        <v>25575958</v>
      </c>
      <c r="H55" s="11">
        <f>19359994+1032533</f>
        <v>20392527</v>
      </c>
      <c r="I55" s="11">
        <f>2268855+258133</f>
        <v>2526988</v>
      </c>
      <c r="J55" s="11">
        <f>SUM(K55:P55)</f>
        <v>807490</v>
      </c>
      <c r="K55" s="11">
        <v>0</v>
      </c>
      <c r="L55" s="11">
        <f>0+13170</f>
        <v>13170</v>
      </c>
      <c r="M55" s="11">
        <v>0</v>
      </c>
      <c r="N55" s="11">
        <v>0</v>
      </c>
      <c r="O55" s="11">
        <v>501253</v>
      </c>
      <c r="P55" s="11">
        <v>293067</v>
      </c>
      <c r="Q55" s="11">
        <f t="shared" si="6"/>
        <v>0</v>
      </c>
      <c r="R55" s="11">
        <v>0</v>
      </c>
      <c r="S55" s="11">
        <v>0</v>
      </c>
      <c r="T55" s="11">
        <v>0</v>
      </c>
      <c r="U55" s="16">
        <v>634899</v>
      </c>
      <c r="V55" s="11">
        <f>SUM(W55:AD55)</f>
        <v>322938</v>
      </c>
      <c r="W55" s="16">
        <v>43164</v>
      </c>
      <c r="X55" s="16">
        <f>107748+1963</f>
        <v>109711</v>
      </c>
      <c r="Y55" s="16">
        <v>102193</v>
      </c>
      <c r="Z55" s="16">
        <f>27460+1576</f>
        <v>29036</v>
      </c>
      <c r="AA55" s="16">
        <f>5828+4735</f>
        <v>10563</v>
      </c>
      <c r="AB55" s="11">
        <v>0</v>
      </c>
      <c r="AC55" s="11">
        <v>0</v>
      </c>
      <c r="AD55" s="11">
        <f>26198+2073</f>
        <v>28271</v>
      </c>
      <c r="AE55" s="11"/>
      <c r="AF55" s="11">
        <f>SUM(AG55:BB55)</f>
        <v>891116</v>
      </c>
      <c r="AG55" s="11">
        <v>0</v>
      </c>
      <c r="AH55" s="11"/>
      <c r="AI55" s="16">
        <v>22450</v>
      </c>
      <c r="AJ55" s="16">
        <v>55743</v>
      </c>
      <c r="AK55" s="16"/>
      <c r="AL55" s="16">
        <v>5427</v>
      </c>
      <c r="AM55" s="16">
        <v>4230</v>
      </c>
      <c r="AN55" s="16">
        <v>770</v>
      </c>
      <c r="AO55" s="16">
        <v>73215</v>
      </c>
      <c r="AP55" s="16">
        <v>5238</v>
      </c>
      <c r="AQ55" s="16">
        <v>15984</v>
      </c>
      <c r="AR55" s="16"/>
      <c r="AS55" s="16"/>
      <c r="AT55" s="16">
        <v>598035</v>
      </c>
      <c r="AU55" s="11">
        <v>0</v>
      </c>
      <c r="AV55" s="11"/>
      <c r="AW55" s="11"/>
      <c r="AX55" s="11">
        <v>0</v>
      </c>
      <c r="AY55" s="11">
        <v>0</v>
      </c>
      <c r="AZ55" s="11">
        <v>0</v>
      </c>
      <c r="BA55" s="11">
        <v>77687</v>
      </c>
      <c r="BB55" s="11">
        <v>32337</v>
      </c>
      <c r="BC55" s="11">
        <f>SUM(BD55+BH55+BL55+BM55+BN55+BQ55)</f>
        <v>0</v>
      </c>
      <c r="BD55" s="11">
        <f>SUM(BE55:BG55)</f>
        <v>0</v>
      </c>
      <c r="BE55" s="11">
        <v>0</v>
      </c>
      <c r="BF55" s="11">
        <v>0</v>
      </c>
      <c r="BG55" s="11">
        <v>0</v>
      </c>
      <c r="BH55" s="11">
        <f t="shared" si="7"/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f t="shared" si="8"/>
        <v>0</v>
      </c>
      <c r="BO55" s="11">
        <v>0</v>
      </c>
      <c r="BP55" s="11">
        <v>0</v>
      </c>
      <c r="BQ55" s="11"/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/>
      <c r="CC55" s="11">
        <f>SUM(CD55+CT55)</f>
        <v>432866</v>
      </c>
      <c r="CD55" s="11">
        <f>SUM(CE55+CH55+CM55)</f>
        <v>432866</v>
      </c>
      <c r="CE55" s="11">
        <f t="shared" si="10"/>
        <v>337621</v>
      </c>
      <c r="CF55" s="11">
        <v>0</v>
      </c>
      <c r="CG55" s="11">
        <v>337621</v>
      </c>
      <c r="CH55" s="11">
        <f>SUM(CI55:CL55)</f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f>SUM(CN55:CQ55)</f>
        <v>95245</v>
      </c>
      <c r="CN55" s="11"/>
      <c r="CO55" s="11">
        <f>30+95215</f>
        <v>95245</v>
      </c>
      <c r="CP55" s="11"/>
      <c r="CQ55" s="11">
        <v>0</v>
      </c>
      <c r="CR55" s="11"/>
      <c r="CS55" s="11"/>
      <c r="CT55" s="11">
        <v>0</v>
      </c>
      <c r="CU55" s="11">
        <f t="shared" si="11"/>
        <v>0</v>
      </c>
      <c r="CV55" s="11">
        <f t="shared" si="12"/>
        <v>0</v>
      </c>
      <c r="CW55" s="11">
        <v>0</v>
      </c>
      <c r="CX55" s="12">
        <v>0</v>
      </c>
    </row>
    <row r="56" spans="1:102" ht="15.75" x14ac:dyDescent="0.25">
      <c r="A56" s="7"/>
      <c r="B56" s="8" t="s">
        <v>143</v>
      </c>
      <c r="C56" s="8" t="s">
        <v>1</v>
      </c>
      <c r="D56" s="9" t="s">
        <v>144</v>
      </c>
      <c r="E56" s="10">
        <f t="shared" ref="E56:AL56" si="64">SUM(E57)</f>
        <v>6307228</v>
      </c>
      <c r="F56" s="11">
        <f t="shared" si="64"/>
        <v>6252603</v>
      </c>
      <c r="G56" s="11">
        <f t="shared" si="64"/>
        <v>6224998</v>
      </c>
      <c r="H56" s="11">
        <f t="shared" si="64"/>
        <v>5080429</v>
      </c>
      <c r="I56" s="11">
        <f t="shared" si="64"/>
        <v>387310</v>
      </c>
      <c r="J56" s="11">
        <f t="shared" si="64"/>
        <v>311374</v>
      </c>
      <c r="K56" s="11">
        <f t="shared" si="64"/>
        <v>0</v>
      </c>
      <c r="L56" s="11">
        <f t="shared" si="64"/>
        <v>0</v>
      </c>
      <c r="M56" s="11">
        <f t="shared" si="64"/>
        <v>0</v>
      </c>
      <c r="N56" s="11">
        <f t="shared" si="64"/>
        <v>0</v>
      </c>
      <c r="O56" s="11">
        <f t="shared" si="64"/>
        <v>259430</v>
      </c>
      <c r="P56" s="11">
        <f t="shared" si="64"/>
        <v>51944</v>
      </c>
      <c r="Q56" s="11">
        <f t="shared" si="64"/>
        <v>0</v>
      </c>
      <c r="R56" s="11">
        <f t="shared" si="64"/>
        <v>0</v>
      </c>
      <c r="S56" s="11">
        <f t="shared" si="64"/>
        <v>0</v>
      </c>
      <c r="T56" s="11">
        <f t="shared" si="64"/>
        <v>0</v>
      </c>
      <c r="U56" s="11">
        <f t="shared" si="64"/>
        <v>159565</v>
      </c>
      <c r="V56" s="11">
        <f t="shared" si="64"/>
        <v>45726</v>
      </c>
      <c r="W56" s="11">
        <f t="shared" si="64"/>
        <v>0</v>
      </c>
      <c r="X56" s="11">
        <f t="shared" si="64"/>
        <v>0</v>
      </c>
      <c r="Y56" s="11">
        <f t="shared" si="64"/>
        <v>33402</v>
      </c>
      <c r="Z56" s="11">
        <f t="shared" si="64"/>
        <v>3483</v>
      </c>
      <c r="AA56" s="11">
        <f t="shared" si="64"/>
        <v>0</v>
      </c>
      <c r="AB56" s="11">
        <f t="shared" si="64"/>
        <v>0</v>
      </c>
      <c r="AC56" s="11">
        <f t="shared" si="64"/>
        <v>0</v>
      </c>
      <c r="AD56" s="11">
        <f t="shared" si="64"/>
        <v>8841</v>
      </c>
      <c r="AE56" s="11">
        <f t="shared" si="64"/>
        <v>0</v>
      </c>
      <c r="AF56" s="11">
        <f t="shared" si="64"/>
        <v>240594</v>
      </c>
      <c r="AG56" s="11">
        <f t="shared" si="64"/>
        <v>0</v>
      </c>
      <c r="AH56" s="11">
        <f t="shared" si="64"/>
        <v>0</v>
      </c>
      <c r="AI56" s="11">
        <f t="shared" si="64"/>
        <v>1398</v>
      </c>
      <c r="AJ56" s="11">
        <f t="shared" si="64"/>
        <v>0</v>
      </c>
      <c r="AK56" s="11">
        <f t="shared" si="64"/>
        <v>0</v>
      </c>
      <c r="AL56" s="11">
        <f t="shared" si="64"/>
        <v>9348</v>
      </c>
      <c r="AM56" s="11">
        <f t="shared" ref="AM56:CX56" si="65">SUM(AM57)</f>
        <v>0</v>
      </c>
      <c r="AN56" s="11">
        <f t="shared" si="65"/>
        <v>41780</v>
      </c>
      <c r="AO56" s="11">
        <f t="shared" si="65"/>
        <v>0</v>
      </c>
      <c r="AP56" s="11">
        <f t="shared" si="65"/>
        <v>33756</v>
      </c>
      <c r="AQ56" s="11">
        <f t="shared" si="65"/>
        <v>0</v>
      </c>
      <c r="AR56" s="11">
        <f t="shared" si="65"/>
        <v>0</v>
      </c>
      <c r="AS56" s="11">
        <f t="shared" si="65"/>
        <v>0</v>
      </c>
      <c r="AT56" s="11">
        <f t="shared" si="65"/>
        <v>97030</v>
      </c>
      <c r="AU56" s="11">
        <f t="shared" si="65"/>
        <v>0</v>
      </c>
      <c r="AV56" s="11"/>
      <c r="AW56" s="11"/>
      <c r="AX56" s="11">
        <f t="shared" si="65"/>
        <v>0</v>
      </c>
      <c r="AY56" s="11">
        <f t="shared" si="65"/>
        <v>0</v>
      </c>
      <c r="AZ56" s="11">
        <f t="shared" si="65"/>
        <v>0</v>
      </c>
      <c r="BA56" s="11">
        <f t="shared" si="65"/>
        <v>45000</v>
      </c>
      <c r="BB56" s="11">
        <f t="shared" si="65"/>
        <v>12282</v>
      </c>
      <c r="BC56" s="11">
        <f t="shared" si="65"/>
        <v>27605</v>
      </c>
      <c r="BD56" s="11">
        <f t="shared" si="65"/>
        <v>0</v>
      </c>
      <c r="BE56" s="11">
        <f t="shared" si="65"/>
        <v>0</v>
      </c>
      <c r="BF56" s="11">
        <f t="shared" si="65"/>
        <v>0</v>
      </c>
      <c r="BG56" s="11">
        <f t="shared" si="65"/>
        <v>0</v>
      </c>
      <c r="BH56" s="11">
        <f t="shared" si="65"/>
        <v>0</v>
      </c>
      <c r="BI56" s="11">
        <f t="shared" si="65"/>
        <v>0</v>
      </c>
      <c r="BJ56" s="11">
        <f t="shared" si="65"/>
        <v>0</v>
      </c>
      <c r="BK56" s="11">
        <f t="shared" si="65"/>
        <v>0</v>
      </c>
      <c r="BL56" s="11">
        <f t="shared" si="65"/>
        <v>0</v>
      </c>
      <c r="BM56" s="11">
        <f t="shared" si="65"/>
        <v>0</v>
      </c>
      <c r="BN56" s="11">
        <f t="shared" si="65"/>
        <v>0</v>
      </c>
      <c r="BO56" s="11">
        <f t="shared" si="65"/>
        <v>0</v>
      </c>
      <c r="BP56" s="11">
        <f t="shared" si="65"/>
        <v>0</v>
      </c>
      <c r="BQ56" s="11">
        <f t="shared" si="65"/>
        <v>27605</v>
      </c>
      <c r="BR56" s="11">
        <f t="shared" si="65"/>
        <v>0</v>
      </c>
      <c r="BS56" s="11">
        <f t="shared" si="65"/>
        <v>0</v>
      </c>
      <c r="BT56" s="11">
        <f t="shared" si="65"/>
        <v>0</v>
      </c>
      <c r="BU56" s="11">
        <f t="shared" si="65"/>
        <v>0</v>
      </c>
      <c r="BV56" s="11">
        <f t="shared" si="65"/>
        <v>0</v>
      </c>
      <c r="BW56" s="11">
        <f t="shared" si="65"/>
        <v>0</v>
      </c>
      <c r="BX56" s="11">
        <f t="shared" si="65"/>
        <v>0</v>
      </c>
      <c r="BY56" s="11">
        <f t="shared" si="65"/>
        <v>0</v>
      </c>
      <c r="BZ56" s="11">
        <f t="shared" si="65"/>
        <v>0</v>
      </c>
      <c r="CA56" s="11">
        <f t="shared" si="65"/>
        <v>27605</v>
      </c>
      <c r="CB56" s="11">
        <f t="shared" si="65"/>
        <v>0</v>
      </c>
      <c r="CC56" s="11">
        <f t="shared" si="65"/>
        <v>54625</v>
      </c>
      <c r="CD56" s="11">
        <f t="shared" si="65"/>
        <v>54625</v>
      </c>
      <c r="CE56" s="11">
        <f t="shared" si="65"/>
        <v>54625</v>
      </c>
      <c r="CF56" s="11">
        <f t="shared" si="65"/>
        <v>0</v>
      </c>
      <c r="CG56" s="11">
        <f t="shared" si="65"/>
        <v>54625</v>
      </c>
      <c r="CH56" s="11">
        <f t="shared" si="65"/>
        <v>0</v>
      </c>
      <c r="CI56" s="11">
        <f t="shared" si="65"/>
        <v>0</v>
      </c>
      <c r="CJ56" s="11">
        <f t="shared" si="65"/>
        <v>0</v>
      </c>
      <c r="CK56" s="11">
        <f t="shared" si="65"/>
        <v>0</v>
      </c>
      <c r="CL56" s="11">
        <f t="shared" si="65"/>
        <v>0</v>
      </c>
      <c r="CM56" s="11">
        <f t="shared" si="65"/>
        <v>0</v>
      </c>
      <c r="CN56" s="11">
        <f t="shared" si="65"/>
        <v>0</v>
      </c>
      <c r="CO56" s="11">
        <f t="shared" si="65"/>
        <v>0</v>
      </c>
      <c r="CP56" s="11"/>
      <c r="CQ56" s="11">
        <f t="shared" si="65"/>
        <v>0</v>
      </c>
      <c r="CR56" s="11">
        <f t="shared" si="65"/>
        <v>0</v>
      </c>
      <c r="CS56" s="11">
        <f t="shared" si="65"/>
        <v>0</v>
      </c>
      <c r="CT56" s="11">
        <f t="shared" si="65"/>
        <v>0</v>
      </c>
      <c r="CU56" s="11">
        <f t="shared" si="65"/>
        <v>0</v>
      </c>
      <c r="CV56" s="11">
        <f t="shared" si="65"/>
        <v>0</v>
      </c>
      <c r="CW56" s="11">
        <f t="shared" si="65"/>
        <v>0</v>
      </c>
      <c r="CX56" s="12">
        <f t="shared" si="65"/>
        <v>0</v>
      </c>
    </row>
    <row r="57" spans="1:102" ht="15.75" x14ac:dyDescent="0.25">
      <c r="A57" s="13"/>
      <c r="B57" s="14" t="s">
        <v>1</v>
      </c>
      <c r="C57" s="14" t="s">
        <v>145</v>
      </c>
      <c r="D57" s="15" t="s">
        <v>146</v>
      </c>
      <c r="E57" s="10">
        <f>SUM(F57+CC57+CU57)</f>
        <v>6307228</v>
      </c>
      <c r="F57" s="11">
        <f>SUM(G57+BC57)</f>
        <v>6252603</v>
      </c>
      <c r="G57" s="11">
        <f>SUM(H57+I57+J57+Q57+T57+U57+V57+AF57+AE57)</f>
        <v>6224998</v>
      </c>
      <c r="H57" s="11">
        <f>5004302+76127</f>
        <v>5080429</v>
      </c>
      <c r="I57" s="11">
        <f>368278+19032</f>
        <v>387310</v>
      </c>
      <c r="J57" s="11">
        <f>SUM(K57:P57)</f>
        <v>311374</v>
      </c>
      <c r="K57" s="11">
        <v>0</v>
      </c>
      <c r="L57" s="11"/>
      <c r="M57" s="11">
        <v>0</v>
      </c>
      <c r="N57" s="11">
        <v>0</v>
      </c>
      <c r="O57" s="11">
        <v>259430</v>
      </c>
      <c r="P57" s="11">
        <v>51944</v>
      </c>
      <c r="Q57" s="11">
        <f t="shared" si="6"/>
        <v>0</v>
      </c>
      <c r="R57" s="11">
        <v>0</v>
      </c>
      <c r="S57" s="11">
        <v>0</v>
      </c>
      <c r="T57" s="11">
        <v>0</v>
      </c>
      <c r="U57" s="16">
        <v>159565</v>
      </c>
      <c r="V57" s="11">
        <f>SUM(W57:AD57)</f>
        <v>45726</v>
      </c>
      <c r="W57" s="11"/>
      <c r="X57" s="11">
        <v>0</v>
      </c>
      <c r="Y57" s="11">
        <f>26600+6802</f>
        <v>33402</v>
      </c>
      <c r="Z57" s="11">
        <v>3483</v>
      </c>
      <c r="AA57" s="11">
        <v>0</v>
      </c>
      <c r="AB57" s="11">
        <v>0</v>
      </c>
      <c r="AC57" s="11">
        <v>0</v>
      </c>
      <c r="AD57" s="11">
        <v>8841</v>
      </c>
      <c r="AE57" s="11"/>
      <c r="AF57" s="11">
        <f>SUM(AG57:BB57)</f>
        <v>240594</v>
      </c>
      <c r="AG57" s="11">
        <v>0</v>
      </c>
      <c r="AH57" s="11"/>
      <c r="AI57" s="16">
        <v>1398</v>
      </c>
      <c r="AJ57" s="16"/>
      <c r="AK57" s="16"/>
      <c r="AL57" s="16">
        <v>9348</v>
      </c>
      <c r="AM57" s="16"/>
      <c r="AN57" s="16">
        <v>41780</v>
      </c>
      <c r="AO57" s="16"/>
      <c r="AP57" s="16">
        <v>33756</v>
      </c>
      <c r="AQ57" s="16"/>
      <c r="AR57" s="16"/>
      <c r="AS57" s="16"/>
      <c r="AT57" s="16">
        <f>103832-6802</f>
        <v>97030</v>
      </c>
      <c r="AU57" s="11">
        <v>0</v>
      </c>
      <c r="AV57" s="11"/>
      <c r="AW57" s="11"/>
      <c r="AX57" s="11">
        <v>0</v>
      </c>
      <c r="AY57" s="11">
        <v>0</v>
      </c>
      <c r="AZ57" s="11">
        <v>0</v>
      </c>
      <c r="BA57" s="11">
        <v>45000</v>
      </c>
      <c r="BB57" s="11">
        <v>12282</v>
      </c>
      <c r="BC57" s="11">
        <f>SUM(BD57+BH57+BL57+BM57+BN57+BQ57)</f>
        <v>27605</v>
      </c>
      <c r="BD57" s="11">
        <f>SUM(BE57:BG57)</f>
        <v>0</v>
      </c>
      <c r="BE57" s="11">
        <v>0</v>
      </c>
      <c r="BF57" s="11">
        <v>0</v>
      </c>
      <c r="BG57" s="11">
        <v>0</v>
      </c>
      <c r="BH57" s="11">
        <f t="shared" si="7"/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f t="shared" si="8"/>
        <v>0</v>
      </c>
      <c r="BO57" s="11">
        <v>0</v>
      </c>
      <c r="BP57" s="11">
        <v>0</v>
      </c>
      <c r="BQ57" s="11">
        <f t="shared" si="9"/>
        <v>27605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27605</v>
      </c>
      <c r="CB57" s="11">
        <v>0</v>
      </c>
      <c r="CC57" s="11">
        <f>SUM(CD57+CT57)</f>
        <v>54625</v>
      </c>
      <c r="CD57" s="11">
        <f>SUM(CE57+CH57+CM57)</f>
        <v>54625</v>
      </c>
      <c r="CE57" s="11">
        <f t="shared" si="10"/>
        <v>54625</v>
      </c>
      <c r="CF57" s="11">
        <v>0</v>
      </c>
      <c r="CG57" s="11">
        <v>54625</v>
      </c>
      <c r="CH57" s="11">
        <f>SUM(CI57:CL57)</f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f>SUM(CN57:CQ57)</f>
        <v>0</v>
      </c>
      <c r="CN57" s="11">
        <v>0</v>
      </c>
      <c r="CO57" s="11">
        <v>0</v>
      </c>
      <c r="CP57" s="11"/>
      <c r="CQ57" s="11">
        <v>0</v>
      </c>
      <c r="CR57" s="11">
        <v>0</v>
      </c>
      <c r="CS57" s="11">
        <v>0</v>
      </c>
      <c r="CT57" s="11">
        <v>0</v>
      </c>
      <c r="CU57" s="11">
        <f t="shared" si="11"/>
        <v>0</v>
      </c>
      <c r="CV57" s="11">
        <f t="shared" si="12"/>
        <v>0</v>
      </c>
      <c r="CW57" s="11">
        <v>0</v>
      </c>
      <c r="CX57" s="12">
        <v>0</v>
      </c>
    </row>
    <row r="58" spans="1:102" ht="15.75" x14ac:dyDescent="0.25">
      <c r="A58" s="7"/>
      <c r="B58" s="8" t="s">
        <v>147</v>
      </c>
      <c r="C58" s="8" t="s">
        <v>1</v>
      </c>
      <c r="D58" s="9" t="s">
        <v>148</v>
      </c>
      <c r="E58" s="10">
        <f t="shared" ref="E58:AL58" si="66">SUM(E59)</f>
        <v>524239</v>
      </c>
      <c r="F58" s="11">
        <f t="shared" si="66"/>
        <v>524239</v>
      </c>
      <c r="G58" s="11">
        <f t="shared" si="66"/>
        <v>524239</v>
      </c>
      <c r="H58" s="11">
        <f t="shared" si="66"/>
        <v>0</v>
      </c>
      <c r="I58" s="11">
        <f t="shared" si="66"/>
        <v>0</v>
      </c>
      <c r="J58" s="11">
        <f t="shared" si="66"/>
        <v>0</v>
      </c>
      <c r="K58" s="11">
        <f t="shared" si="66"/>
        <v>0</v>
      </c>
      <c r="L58" s="11">
        <f t="shared" si="66"/>
        <v>0</v>
      </c>
      <c r="M58" s="11">
        <f t="shared" si="66"/>
        <v>0</v>
      </c>
      <c r="N58" s="11">
        <f t="shared" si="66"/>
        <v>0</v>
      </c>
      <c r="O58" s="11">
        <f t="shared" si="66"/>
        <v>0</v>
      </c>
      <c r="P58" s="11">
        <f t="shared" si="66"/>
        <v>0</v>
      </c>
      <c r="Q58" s="11">
        <f t="shared" si="66"/>
        <v>0</v>
      </c>
      <c r="R58" s="11">
        <f t="shared" si="66"/>
        <v>0</v>
      </c>
      <c r="S58" s="11">
        <f t="shared" si="66"/>
        <v>0</v>
      </c>
      <c r="T58" s="11">
        <f t="shared" si="66"/>
        <v>0</v>
      </c>
      <c r="U58" s="11">
        <f t="shared" si="66"/>
        <v>0</v>
      </c>
      <c r="V58" s="11">
        <f t="shared" si="66"/>
        <v>0</v>
      </c>
      <c r="W58" s="11">
        <f t="shared" si="66"/>
        <v>0</v>
      </c>
      <c r="X58" s="11">
        <f t="shared" si="66"/>
        <v>0</v>
      </c>
      <c r="Y58" s="11">
        <f t="shared" si="66"/>
        <v>0</v>
      </c>
      <c r="Z58" s="11">
        <f t="shared" si="66"/>
        <v>0</v>
      </c>
      <c r="AA58" s="11">
        <f t="shared" si="66"/>
        <v>0</v>
      </c>
      <c r="AB58" s="11">
        <f t="shared" si="66"/>
        <v>0</v>
      </c>
      <c r="AC58" s="11">
        <f t="shared" si="66"/>
        <v>0</v>
      </c>
      <c r="AD58" s="11">
        <f t="shared" si="66"/>
        <v>0</v>
      </c>
      <c r="AE58" s="11">
        <f t="shared" si="66"/>
        <v>0</v>
      </c>
      <c r="AF58" s="11">
        <f t="shared" si="66"/>
        <v>524239</v>
      </c>
      <c r="AG58" s="11">
        <f t="shared" si="66"/>
        <v>0</v>
      </c>
      <c r="AH58" s="11">
        <f t="shared" si="66"/>
        <v>0</v>
      </c>
      <c r="AI58" s="11">
        <f t="shared" si="66"/>
        <v>0</v>
      </c>
      <c r="AJ58" s="11">
        <f t="shared" si="66"/>
        <v>0</v>
      </c>
      <c r="AK58" s="11">
        <f t="shared" si="66"/>
        <v>0</v>
      </c>
      <c r="AL58" s="11">
        <f t="shared" si="66"/>
        <v>0</v>
      </c>
      <c r="AM58" s="11">
        <f t="shared" ref="AM58:CX58" si="67">SUM(AM59)</f>
        <v>0</v>
      </c>
      <c r="AN58" s="11">
        <f t="shared" si="67"/>
        <v>0</v>
      </c>
      <c r="AO58" s="11">
        <f t="shared" si="67"/>
        <v>0</v>
      </c>
      <c r="AP58" s="11">
        <f t="shared" si="67"/>
        <v>0</v>
      </c>
      <c r="AQ58" s="11">
        <f t="shared" si="67"/>
        <v>0</v>
      </c>
      <c r="AR58" s="11">
        <f t="shared" si="67"/>
        <v>0</v>
      </c>
      <c r="AS58" s="11">
        <f t="shared" si="67"/>
        <v>0</v>
      </c>
      <c r="AT58" s="11">
        <f t="shared" si="67"/>
        <v>0</v>
      </c>
      <c r="AU58" s="11">
        <f t="shared" si="67"/>
        <v>0</v>
      </c>
      <c r="AV58" s="11">
        <f t="shared" si="67"/>
        <v>524239</v>
      </c>
      <c r="AW58" s="11">
        <f t="shared" si="67"/>
        <v>0</v>
      </c>
      <c r="AX58" s="11">
        <f t="shared" si="67"/>
        <v>0</v>
      </c>
      <c r="AY58" s="11">
        <f t="shared" si="67"/>
        <v>0</v>
      </c>
      <c r="AZ58" s="11">
        <f t="shared" si="67"/>
        <v>0</v>
      </c>
      <c r="BA58" s="11">
        <f t="shared" si="67"/>
        <v>0</v>
      </c>
      <c r="BB58" s="11">
        <f t="shared" si="67"/>
        <v>0</v>
      </c>
      <c r="BC58" s="11">
        <f t="shared" si="67"/>
        <v>0</v>
      </c>
      <c r="BD58" s="11">
        <f t="shared" si="67"/>
        <v>0</v>
      </c>
      <c r="BE58" s="11">
        <f t="shared" si="67"/>
        <v>0</v>
      </c>
      <c r="BF58" s="11">
        <f t="shared" si="67"/>
        <v>0</v>
      </c>
      <c r="BG58" s="11">
        <f t="shared" si="67"/>
        <v>0</v>
      </c>
      <c r="BH58" s="11">
        <f t="shared" si="67"/>
        <v>0</v>
      </c>
      <c r="BI58" s="11">
        <f t="shared" si="67"/>
        <v>0</v>
      </c>
      <c r="BJ58" s="11">
        <f t="shared" si="67"/>
        <v>0</v>
      </c>
      <c r="BK58" s="11">
        <f t="shared" si="67"/>
        <v>0</v>
      </c>
      <c r="BL58" s="11">
        <f t="shared" si="67"/>
        <v>0</v>
      </c>
      <c r="BM58" s="11">
        <f t="shared" si="67"/>
        <v>0</v>
      </c>
      <c r="BN58" s="11">
        <f t="shared" si="67"/>
        <v>0</v>
      </c>
      <c r="BO58" s="11">
        <f t="shared" si="67"/>
        <v>0</v>
      </c>
      <c r="BP58" s="11">
        <f t="shared" si="67"/>
        <v>0</v>
      </c>
      <c r="BQ58" s="11">
        <f t="shared" si="67"/>
        <v>0</v>
      </c>
      <c r="BR58" s="11">
        <f t="shared" si="67"/>
        <v>0</v>
      </c>
      <c r="BS58" s="11">
        <f t="shared" si="67"/>
        <v>0</v>
      </c>
      <c r="BT58" s="11">
        <f t="shared" si="67"/>
        <v>0</v>
      </c>
      <c r="BU58" s="11">
        <f t="shared" si="67"/>
        <v>0</v>
      </c>
      <c r="BV58" s="11">
        <f t="shared" si="67"/>
        <v>0</v>
      </c>
      <c r="BW58" s="11">
        <f t="shared" si="67"/>
        <v>0</v>
      </c>
      <c r="BX58" s="11">
        <f t="shared" si="67"/>
        <v>0</v>
      </c>
      <c r="BY58" s="11">
        <f t="shared" si="67"/>
        <v>0</v>
      </c>
      <c r="BZ58" s="11">
        <f t="shared" si="67"/>
        <v>0</v>
      </c>
      <c r="CA58" s="11">
        <f t="shared" si="67"/>
        <v>0</v>
      </c>
      <c r="CB58" s="11">
        <f t="shared" si="67"/>
        <v>0</v>
      </c>
      <c r="CC58" s="11">
        <f t="shared" si="67"/>
        <v>0</v>
      </c>
      <c r="CD58" s="11">
        <f t="shared" si="67"/>
        <v>0</v>
      </c>
      <c r="CE58" s="11">
        <f t="shared" si="67"/>
        <v>0</v>
      </c>
      <c r="CF58" s="11">
        <f t="shared" si="67"/>
        <v>0</v>
      </c>
      <c r="CG58" s="11">
        <f t="shared" si="67"/>
        <v>0</v>
      </c>
      <c r="CH58" s="11">
        <f t="shared" si="67"/>
        <v>0</v>
      </c>
      <c r="CI58" s="11">
        <f t="shared" si="67"/>
        <v>0</v>
      </c>
      <c r="CJ58" s="11">
        <f t="shared" si="67"/>
        <v>0</v>
      </c>
      <c r="CK58" s="11">
        <f t="shared" si="67"/>
        <v>0</v>
      </c>
      <c r="CL58" s="11">
        <f t="shared" si="67"/>
        <v>0</v>
      </c>
      <c r="CM58" s="11">
        <f t="shared" si="67"/>
        <v>0</v>
      </c>
      <c r="CN58" s="11">
        <f t="shared" si="67"/>
        <v>0</v>
      </c>
      <c r="CO58" s="11">
        <f t="shared" si="67"/>
        <v>0</v>
      </c>
      <c r="CP58" s="11"/>
      <c r="CQ58" s="11">
        <f t="shared" si="67"/>
        <v>0</v>
      </c>
      <c r="CR58" s="11">
        <f t="shared" si="67"/>
        <v>0</v>
      </c>
      <c r="CS58" s="11">
        <f t="shared" si="67"/>
        <v>0</v>
      </c>
      <c r="CT58" s="11">
        <f t="shared" si="67"/>
        <v>0</v>
      </c>
      <c r="CU58" s="11">
        <f t="shared" si="67"/>
        <v>0</v>
      </c>
      <c r="CV58" s="11">
        <f t="shared" si="67"/>
        <v>0</v>
      </c>
      <c r="CW58" s="11">
        <f t="shared" si="67"/>
        <v>0</v>
      </c>
      <c r="CX58" s="12">
        <f t="shared" si="67"/>
        <v>0</v>
      </c>
    </row>
    <row r="59" spans="1:102" ht="15.75" x14ac:dyDescent="0.25">
      <c r="A59" s="13" t="s">
        <v>1</v>
      </c>
      <c r="B59" s="14" t="s">
        <v>1</v>
      </c>
      <c r="C59" s="14" t="s">
        <v>141</v>
      </c>
      <c r="D59" s="15" t="s">
        <v>149</v>
      </c>
      <c r="E59" s="10">
        <f>SUM(F59+CC59+CU59)</f>
        <v>524239</v>
      </c>
      <c r="F59" s="11">
        <f>SUM(G59+BC59)</f>
        <v>524239</v>
      </c>
      <c r="G59" s="11">
        <f>SUM(H59+I59+J59+Q59+T59+U59+V59+AF59+AE59)</f>
        <v>524239</v>
      </c>
      <c r="H59" s="11">
        <v>0</v>
      </c>
      <c r="I59" s="11">
        <v>0</v>
      </c>
      <c r="J59" s="11">
        <f>SUM(K59:P59)</f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f t="shared" si="6"/>
        <v>0</v>
      </c>
      <c r="R59" s="11">
        <v>0</v>
      </c>
      <c r="S59" s="11">
        <v>0</v>
      </c>
      <c r="T59" s="11">
        <v>0</v>
      </c>
      <c r="U59" s="11">
        <v>0</v>
      </c>
      <c r="V59" s="11">
        <f>SUM(W59:AD59)</f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f>SUM(AG59:BB59)</f>
        <v>524239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524239</v>
      </c>
      <c r="AW59" s="11"/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f>SUM(BD59+BH59+BL59+BM59+BN59+BQ59)</f>
        <v>0</v>
      </c>
      <c r="BD59" s="11">
        <f>SUM(BE59:BG59)</f>
        <v>0</v>
      </c>
      <c r="BE59" s="11">
        <v>0</v>
      </c>
      <c r="BF59" s="11">
        <v>0</v>
      </c>
      <c r="BG59" s="11">
        <v>0</v>
      </c>
      <c r="BH59" s="11">
        <f t="shared" si="7"/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f t="shared" si="8"/>
        <v>0</v>
      </c>
      <c r="BO59" s="11">
        <v>0</v>
      </c>
      <c r="BP59" s="11">
        <v>0</v>
      </c>
      <c r="BQ59" s="11">
        <f t="shared" si="9"/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f>SUM(CD59+CT59)</f>
        <v>0</v>
      </c>
      <c r="CD59" s="11">
        <f>SUM(CE59+CH59+CM59)</f>
        <v>0</v>
      </c>
      <c r="CE59" s="11">
        <f t="shared" si="10"/>
        <v>0</v>
      </c>
      <c r="CF59" s="11">
        <v>0</v>
      </c>
      <c r="CG59" s="11">
        <v>0</v>
      </c>
      <c r="CH59" s="11">
        <f>SUM(CI59:CL59)</f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f>SUM(CN59:CQ59)</f>
        <v>0</v>
      </c>
      <c r="CN59" s="11">
        <v>0</v>
      </c>
      <c r="CO59" s="11">
        <v>0</v>
      </c>
      <c r="CP59" s="11"/>
      <c r="CQ59" s="11">
        <v>0</v>
      </c>
      <c r="CR59" s="11">
        <v>0</v>
      </c>
      <c r="CS59" s="11">
        <v>0</v>
      </c>
      <c r="CT59" s="11">
        <v>0</v>
      </c>
      <c r="CU59" s="11">
        <f t="shared" si="11"/>
        <v>0</v>
      </c>
      <c r="CV59" s="11">
        <f t="shared" si="12"/>
        <v>0</v>
      </c>
      <c r="CW59" s="11">
        <v>0</v>
      </c>
      <c r="CX59" s="12">
        <v>0</v>
      </c>
    </row>
    <row r="60" spans="1:102" ht="15.75" x14ac:dyDescent="0.25">
      <c r="A60" s="18" t="s">
        <v>150</v>
      </c>
      <c r="B60" s="19" t="s">
        <v>1</v>
      </c>
      <c r="C60" s="19" t="s">
        <v>1</v>
      </c>
      <c r="D60" s="20" t="s">
        <v>151</v>
      </c>
      <c r="E60" s="21">
        <f>SUM(E61+E63)</f>
        <v>4729294</v>
      </c>
      <c r="F60" s="22">
        <f t="shared" ref="F60:BW60" si="68">SUM(F61+F63)</f>
        <v>4677394</v>
      </c>
      <c r="G60" s="22">
        <f t="shared" si="68"/>
        <v>4677394</v>
      </c>
      <c r="H60" s="22">
        <f t="shared" si="68"/>
        <v>2102285</v>
      </c>
      <c r="I60" s="22">
        <f t="shared" si="68"/>
        <v>525571</v>
      </c>
      <c r="J60" s="22">
        <f t="shared" si="68"/>
        <v>85827</v>
      </c>
      <c r="K60" s="22">
        <f t="shared" si="68"/>
        <v>0</v>
      </c>
      <c r="L60" s="22">
        <f t="shared" si="68"/>
        <v>0</v>
      </c>
      <c r="M60" s="22">
        <f t="shared" si="68"/>
        <v>0</v>
      </c>
      <c r="N60" s="22">
        <f t="shared" si="68"/>
        <v>0</v>
      </c>
      <c r="O60" s="22">
        <f t="shared" si="68"/>
        <v>39576</v>
      </c>
      <c r="P60" s="22">
        <f t="shared" si="68"/>
        <v>46251</v>
      </c>
      <c r="Q60" s="22">
        <f t="shared" si="68"/>
        <v>122520</v>
      </c>
      <c r="R60" s="22">
        <f t="shared" si="68"/>
        <v>0</v>
      </c>
      <c r="S60" s="22">
        <f t="shared" si="68"/>
        <v>122520</v>
      </c>
      <c r="T60" s="22">
        <f t="shared" si="68"/>
        <v>0</v>
      </c>
      <c r="U60" s="22">
        <f t="shared" si="68"/>
        <v>54384</v>
      </c>
      <c r="V60" s="22">
        <f t="shared" si="68"/>
        <v>474362</v>
      </c>
      <c r="W60" s="22">
        <f t="shared" si="68"/>
        <v>23082</v>
      </c>
      <c r="X60" s="22">
        <f t="shared" si="68"/>
        <v>0</v>
      </c>
      <c r="Y60" s="22">
        <f t="shared" si="68"/>
        <v>0</v>
      </c>
      <c r="Z60" s="22">
        <f t="shared" si="68"/>
        <v>0</v>
      </c>
      <c r="AA60" s="22">
        <f t="shared" si="68"/>
        <v>0</v>
      </c>
      <c r="AB60" s="22">
        <f t="shared" si="68"/>
        <v>451280</v>
      </c>
      <c r="AC60" s="22">
        <f t="shared" si="68"/>
        <v>0</v>
      </c>
      <c r="AD60" s="22">
        <f t="shared" si="68"/>
        <v>0</v>
      </c>
      <c r="AE60" s="22">
        <f t="shared" si="68"/>
        <v>0</v>
      </c>
      <c r="AF60" s="22">
        <f t="shared" si="68"/>
        <v>1312445</v>
      </c>
      <c r="AG60" s="22">
        <f t="shared" si="68"/>
        <v>0</v>
      </c>
      <c r="AH60" s="22">
        <f t="shared" si="68"/>
        <v>0</v>
      </c>
      <c r="AI60" s="22">
        <f t="shared" si="68"/>
        <v>0</v>
      </c>
      <c r="AJ60" s="22">
        <f t="shared" si="68"/>
        <v>0</v>
      </c>
      <c r="AK60" s="22">
        <f t="shared" si="68"/>
        <v>0</v>
      </c>
      <c r="AL60" s="22">
        <f t="shared" si="68"/>
        <v>0</v>
      </c>
      <c r="AM60" s="22">
        <f t="shared" si="68"/>
        <v>1753</v>
      </c>
      <c r="AN60" s="22">
        <f t="shared" si="68"/>
        <v>0</v>
      </c>
      <c r="AO60" s="22">
        <f t="shared" si="68"/>
        <v>0</v>
      </c>
      <c r="AP60" s="22">
        <f t="shared" si="68"/>
        <v>435469</v>
      </c>
      <c r="AQ60" s="22">
        <f t="shared" si="68"/>
        <v>0</v>
      </c>
      <c r="AR60" s="22">
        <f t="shared" ref="AR60" si="69">SUM(AR61+AR63)</f>
        <v>0</v>
      </c>
      <c r="AS60" s="22">
        <f t="shared" si="68"/>
        <v>0</v>
      </c>
      <c r="AT60" s="22">
        <f t="shared" si="68"/>
        <v>0</v>
      </c>
      <c r="AU60" s="22">
        <f t="shared" si="68"/>
        <v>0</v>
      </c>
      <c r="AV60" s="22"/>
      <c r="AW60" s="22"/>
      <c r="AX60" s="22">
        <f t="shared" si="68"/>
        <v>0</v>
      </c>
      <c r="AY60" s="22">
        <f t="shared" si="68"/>
        <v>0</v>
      </c>
      <c r="AZ60" s="22">
        <f t="shared" si="68"/>
        <v>0</v>
      </c>
      <c r="BA60" s="22">
        <f t="shared" si="68"/>
        <v>100128</v>
      </c>
      <c r="BB60" s="22">
        <f t="shared" si="68"/>
        <v>775095</v>
      </c>
      <c r="BC60" s="22">
        <f t="shared" si="68"/>
        <v>0</v>
      </c>
      <c r="BD60" s="22">
        <f t="shared" si="68"/>
        <v>0</v>
      </c>
      <c r="BE60" s="22">
        <f t="shared" si="68"/>
        <v>0</v>
      </c>
      <c r="BF60" s="22">
        <f t="shared" si="68"/>
        <v>0</v>
      </c>
      <c r="BG60" s="22">
        <f t="shared" si="68"/>
        <v>0</v>
      </c>
      <c r="BH60" s="22">
        <f t="shared" si="68"/>
        <v>0</v>
      </c>
      <c r="BI60" s="22">
        <f t="shared" si="68"/>
        <v>0</v>
      </c>
      <c r="BJ60" s="22">
        <f t="shared" si="68"/>
        <v>0</v>
      </c>
      <c r="BK60" s="22">
        <f t="shared" si="68"/>
        <v>0</v>
      </c>
      <c r="BL60" s="22">
        <f t="shared" si="68"/>
        <v>0</v>
      </c>
      <c r="BM60" s="22">
        <f t="shared" si="68"/>
        <v>0</v>
      </c>
      <c r="BN60" s="22">
        <f t="shared" si="68"/>
        <v>0</v>
      </c>
      <c r="BO60" s="22">
        <f t="shared" si="68"/>
        <v>0</v>
      </c>
      <c r="BP60" s="22">
        <f t="shared" ref="BP60" si="70">SUM(BP61+BP63)</f>
        <v>0</v>
      </c>
      <c r="BQ60" s="22">
        <f t="shared" si="68"/>
        <v>0</v>
      </c>
      <c r="BR60" s="22">
        <f t="shared" si="68"/>
        <v>0</v>
      </c>
      <c r="BS60" s="22">
        <f t="shared" si="68"/>
        <v>0</v>
      </c>
      <c r="BT60" s="22">
        <f t="shared" si="68"/>
        <v>0</v>
      </c>
      <c r="BU60" s="22">
        <f t="shared" si="68"/>
        <v>0</v>
      </c>
      <c r="BV60" s="22">
        <f t="shared" si="68"/>
        <v>0</v>
      </c>
      <c r="BW60" s="22">
        <f t="shared" si="68"/>
        <v>0</v>
      </c>
      <c r="BX60" s="22">
        <f t="shared" ref="BX60:CX60" si="71">SUM(BX61+BX63)</f>
        <v>0</v>
      </c>
      <c r="BY60" s="22">
        <f t="shared" si="71"/>
        <v>0</v>
      </c>
      <c r="BZ60" s="22">
        <f t="shared" si="71"/>
        <v>0</v>
      </c>
      <c r="CA60" s="22">
        <f t="shared" si="71"/>
        <v>0</v>
      </c>
      <c r="CB60" s="22">
        <f t="shared" si="71"/>
        <v>0</v>
      </c>
      <c r="CC60" s="22">
        <f t="shared" si="71"/>
        <v>51900</v>
      </c>
      <c r="CD60" s="22">
        <f t="shared" si="71"/>
        <v>51900</v>
      </c>
      <c r="CE60" s="22">
        <f t="shared" si="71"/>
        <v>51900</v>
      </c>
      <c r="CF60" s="22">
        <f t="shared" si="71"/>
        <v>0</v>
      </c>
      <c r="CG60" s="22">
        <f t="shared" si="71"/>
        <v>51900</v>
      </c>
      <c r="CH60" s="22">
        <f t="shared" si="71"/>
        <v>0</v>
      </c>
      <c r="CI60" s="22">
        <f t="shared" si="71"/>
        <v>0</v>
      </c>
      <c r="CJ60" s="22">
        <f t="shared" si="71"/>
        <v>0</v>
      </c>
      <c r="CK60" s="22">
        <f t="shared" si="71"/>
        <v>0</v>
      </c>
      <c r="CL60" s="22">
        <f t="shared" si="71"/>
        <v>0</v>
      </c>
      <c r="CM60" s="22">
        <f t="shared" si="71"/>
        <v>0</v>
      </c>
      <c r="CN60" s="22">
        <f t="shared" si="71"/>
        <v>0</v>
      </c>
      <c r="CO60" s="22">
        <f t="shared" si="71"/>
        <v>0</v>
      </c>
      <c r="CP60" s="22"/>
      <c r="CQ60" s="22">
        <f t="shared" si="71"/>
        <v>0</v>
      </c>
      <c r="CR60" s="22">
        <f t="shared" si="71"/>
        <v>0</v>
      </c>
      <c r="CS60" s="22">
        <f t="shared" si="71"/>
        <v>0</v>
      </c>
      <c r="CT60" s="22">
        <f t="shared" si="71"/>
        <v>0</v>
      </c>
      <c r="CU60" s="22">
        <f t="shared" si="71"/>
        <v>0</v>
      </c>
      <c r="CV60" s="22">
        <f t="shared" si="71"/>
        <v>0</v>
      </c>
      <c r="CW60" s="22">
        <f t="shared" si="71"/>
        <v>0</v>
      </c>
      <c r="CX60" s="23">
        <f t="shared" si="71"/>
        <v>0</v>
      </c>
    </row>
    <row r="61" spans="1:102" ht="15.75" x14ac:dyDescent="0.25">
      <c r="A61" s="7"/>
      <c r="B61" s="8" t="s">
        <v>152</v>
      </c>
      <c r="C61" s="8" t="s">
        <v>1</v>
      </c>
      <c r="D61" s="9" t="s">
        <v>153</v>
      </c>
      <c r="E61" s="10">
        <f t="shared" ref="E61:BT61" si="72">SUM(E62)</f>
        <v>3979294</v>
      </c>
      <c r="F61" s="11">
        <f t="shared" si="72"/>
        <v>3927394</v>
      </c>
      <c r="G61" s="11">
        <f t="shared" si="72"/>
        <v>3927394</v>
      </c>
      <c r="H61" s="11">
        <f t="shared" si="72"/>
        <v>2102285</v>
      </c>
      <c r="I61" s="11">
        <f t="shared" si="72"/>
        <v>525571</v>
      </c>
      <c r="J61" s="11">
        <f t="shared" si="72"/>
        <v>85827</v>
      </c>
      <c r="K61" s="11">
        <f t="shared" si="72"/>
        <v>0</v>
      </c>
      <c r="L61" s="11">
        <f t="shared" si="72"/>
        <v>0</v>
      </c>
      <c r="M61" s="11">
        <f t="shared" si="72"/>
        <v>0</v>
      </c>
      <c r="N61" s="11">
        <f t="shared" si="72"/>
        <v>0</v>
      </c>
      <c r="O61" s="11">
        <f t="shared" si="72"/>
        <v>39576</v>
      </c>
      <c r="P61" s="11">
        <f t="shared" si="72"/>
        <v>46251</v>
      </c>
      <c r="Q61" s="11">
        <f t="shared" si="72"/>
        <v>122520</v>
      </c>
      <c r="R61" s="11">
        <f t="shared" si="72"/>
        <v>0</v>
      </c>
      <c r="S61" s="11">
        <f t="shared" si="72"/>
        <v>122520</v>
      </c>
      <c r="T61" s="11">
        <f t="shared" si="72"/>
        <v>0</v>
      </c>
      <c r="U61" s="11">
        <f t="shared" si="72"/>
        <v>54384</v>
      </c>
      <c r="V61" s="11">
        <f t="shared" si="72"/>
        <v>474362</v>
      </c>
      <c r="W61" s="11">
        <f t="shared" si="72"/>
        <v>23082</v>
      </c>
      <c r="X61" s="11">
        <f t="shared" si="72"/>
        <v>0</v>
      </c>
      <c r="Y61" s="11">
        <f t="shared" si="72"/>
        <v>0</v>
      </c>
      <c r="Z61" s="11">
        <f t="shared" si="72"/>
        <v>0</v>
      </c>
      <c r="AA61" s="11">
        <f t="shared" si="72"/>
        <v>0</v>
      </c>
      <c r="AB61" s="11">
        <f t="shared" si="72"/>
        <v>451280</v>
      </c>
      <c r="AC61" s="11">
        <f t="shared" si="72"/>
        <v>0</v>
      </c>
      <c r="AD61" s="11">
        <f t="shared" si="72"/>
        <v>0</v>
      </c>
      <c r="AE61" s="11">
        <f t="shared" si="72"/>
        <v>0</v>
      </c>
      <c r="AF61" s="11">
        <f t="shared" si="72"/>
        <v>562445</v>
      </c>
      <c r="AG61" s="11">
        <f t="shared" si="72"/>
        <v>0</v>
      </c>
      <c r="AH61" s="11">
        <f t="shared" si="72"/>
        <v>0</v>
      </c>
      <c r="AI61" s="11">
        <f t="shared" si="72"/>
        <v>0</v>
      </c>
      <c r="AJ61" s="11">
        <f t="shared" si="72"/>
        <v>0</v>
      </c>
      <c r="AK61" s="11">
        <f t="shared" si="72"/>
        <v>0</v>
      </c>
      <c r="AL61" s="11">
        <f t="shared" si="72"/>
        <v>0</v>
      </c>
      <c r="AM61" s="11">
        <f t="shared" si="72"/>
        <v>1753</v>
      </c>
      <c r="AN61" s="11">
        <f t="shared" si="72"/>
        <v>0</v>
      </c>
      <c r="AO61" s="11">
        <f t="shared" si="72"/>
        <v>0</v>
      </c>
      <c r="AP61" s="11">
        <f t="shared" si="72"/>
        <v>435469</v>
      </c>
      <c r="AQ61" s="11">
        <f t="shared" si="72"/>
        <v>0</v>
      </c>
      <c r="AR61" s="11">
        <f t="shared" si="72"/>
        <v>0</v>
      </c>
      <c r="AS61" s="11">
        <f t="shared" si="72"/>
        <v>0</v>
      </c>
      <c r="AT61" s="11">
        <f t="shared" si="72"/>
        <v>0</v>
      </c>
      <c r="AU61" s="11">
        <f t="shared" si="72"/>
        <v>0</v>
      </c>
      <c r="AV61" s="11"/>
      <c r="AW61" s="11"/>
      <c r="AX61" s="11">
        <f t="shared" si="72"/>
        <v>0</v>
      </c>
      <c r="AY61" s="11">
        <f t="shared" si="72"/>
        <v>0</v>
      </c>
      <c r="AZ61" s="11">
        <f t="shared" si="72"/>
        <v>0</v>
      </c>
      <c r="BA61" s="11">
        <f t="shared" si="72"/>
        <v>100128</v>
      </c>
      <c r="BB61" s="11">
        <f t="shared" si="72"/>
        <v>25095</v>
      </c>
      <c r="BC61" s="11">
        <f t="shared" si="72"/>
        <v>0</v>
      </c>
      <c r="BD61" s="11">
        <f t="shared" si="72"/>
        <v>0</v>
      </c>
      <c r="BE61" s="11">
        <f t="shared" si="72"/>
        <v>0</v>
      </c>
      <c r="BF61" s="11">
        <f t="shared" si="72"/>
        <v>0</v>
      </c>
      <c r="BG61" s="11">
        <f t="shared" si="72"/>
        <v>0</v>
      </c>
      <c r="BH61" s="11">
        <f t="shared" si="72"/>
        <v>0</v>
      </c>
      <c r="BI61" s="11">
        <f t="shared" si="72"/>
        <v>0</v>
      </c>
      <c r="BJ61" s="11">
        <f t="shared" si="72"/>
        <v>0</v>
      </c>
      <c r="BK61" s="11">
        <f t="shared" si="72"/>
        <v>0</v>
      </c>
      <c r="BL61" s="11">
        <f t="shared" si="72"/>
        <v>0</v>
      </c>
      <c r="BM61" s="11">
        <f t="shared" si="72"/>
        <v>0</v>
      </c>
      <c r="BN61" s="11">
        <f t="shared" si="72"/>
        <v>0</v>
      </c>
      <c r="BO61" s="11">
        <f t="shared" si="72"/>
        <v>0</v>
      </c>
      <c r="BP61" s="11">
        <f t="shared" si="72"/>
        <v>0</v>
      </c>
      <c r="BQ61" s="11">
        <f t="shared" si="72"/>
        <v>0</v>
      </c>
      <c r="BR61" s="11">
        <f t="shared" si="72"/>
        <v>0</v>
      </c>
      <c r="BS61" s="11">
        <f t="shared" si="72"/>
        <v>0</v>
      </c>
      <c r="BT61" s="11">
        <f t="shared" si="72"/>
        <v>0</v>
      </c>
      <c r="BU61" s="11">
        <f t="shared" ref="BU61:CX61" si="73">SUM(BU62)</f>
        <v>0</v>
      </c>
      <c r="BV61" s="11">
        <f t="shared" si="73"/>
        <v>0</v>
      </c>
      <c r="BW61" s="11">
        <f t="shared" si="73"/>
        <v>0</v>
      </c>
      <c r="BX61" s="11">
        <f t="shared" si="73"/>
        <v>0</v>
      </c>
      <c r="BY61" s="11">
        <f t="shared" si="73"/>
        <v>0</v>
      </c>
      <c r="BZ61" s="11">
        <f t="shared" si="73"/>
        <v>0</v>
      </c>
      <c r="CA61" s="11">
        <f t="shared" si="73"/>
        <v>0</v>
      </c>
      <c r="CB61" s="11">
        <f t="shared" si="73"/>
        <v>0</v>
      </c>
      <c r="CC61" s="11">
        <f t="shared" si="73"/>
        <v>51900</v>
      </c>
      <c r="CD61" s="11">
        <f t="shared" si="73"/>
        <v>51900</v>
      </c>
      <c r="CE61" s="11">
        <f t="shared" si="73"/>
        <v>51900</v>
      </c>
      <c r="CF61" s="11">
        <f t="shared" si="73"/>
        <v>0</v>
      </c>
      <c r="CG61" s="11">
        <f t="shared" si="73"/>
        <v>51900</v>
      </c>
      <c r="CH61" s="11">
        <f t="shared" si="73"/>
        <v>0</v>
      </c>
      <c r="CI61" s="11">
        <f t="shared" si="73"/>
        <v>0</v>
      </c>
      <c r="CJ61" s="11">
        <f t="shared" si="73"/>
        <v>0</v>
      </c>
      <c r="CK61" s="11">
        <f t="shared" si="73"/>
        <v>0</v>
      </c>
      <c r="CL61" s="11">
        <f t="shared" si="73"/>
        <v>0</v>
      </c>
      <c r="CM61" s="11">
        <f t="shared" si="73"/>
        <v>0</v>
      </c>
      <c r="CN61" s="11">
        <f t="shared" si="73"/>
        <v>0</v>
      </c>
      <c r="CO61" s="11">
        <f t="shared" si="73"/>
        <v>0</v>
      </c>
      <c r="CP61" s="11"/>
      <c r="CQ61" s="11">
        <f t="shared" si="73"/>
        <v>0</v>
      </c>
      <c r="CR61" s="11">
        <f t="shared" si="73"/>
        <v>0</v>
      </c>
      <c r="CS61" s="11">
        <f t="shared" si="73"/>
        <v>0</v>
      </c>
      <c r="CT61" s="11">
        <f t="shared" si="73"/>
        <v>0</v>
      </c>
      <c r="CU61" s="11">
        <f t="shared" si="73"/>
        <v>0</v>
      </c>
      <c r="CV61" s="11">
        <f t="shared" si="73"/>
        <v>0</v>
      </c>
      <c r="CW61" s="11">
        <f t="shared" si="73"/>
        <v>0</v>
      </c>
      <c r="CX61" s="12">
        <f t="shared" si="73"/>
        <v>0</v>
      </c>
    </row>
    <row r="62" spans="1:102" ht="31.5" x14ac:dyDescent="0.25">
      <c r="A62" s="13"/>
      <c r="B62" s="14" t="s">
        <v>1</v>
      </c>
      <c r="C62" s="14" t="s">
        <v>92</v>
      </c>
      <c r="D62" s="15" t="s">
        <v>154</v>
      </c>
      <c r="E62" s="10">
        <f>SUM(F62+CC62+CU62)</f>
        <v>3979294</v>
      </c>
      <c r="F62" s="11">
        <f>SUM(G62+BC62)</f>
        <v>3927394</v>
      </c>
      <c r="G62" s="11">
        <f>SUM(H62+I62+J62+Q62+T62+U62+V62+AF62+AE62)</f>
        <v>3927394</v>
      </c>
      <c r="H62" s="16">
        <f>1995840+106445</f>
        <v>2102285</v>
      </c>
      <c r="I62" s="16">
        <f>498960+26611</f>
        <v>525571</v>
      </c>
      <c r="J62" s="11">
        <f>SUM(K62:P62)</f>
        <v>85827</v>
      </c>
      <c r="K62" s="11">
        <v>0</v>
      </c>
      <c r="L62" s="11">
        <v>0</v>
      </c>
      <c r="M62" s="11">
        <v>0</v>
      </c>
      <c r="N62" s="11">
        <v>0</v>
      </c>
      <c r="O62" s="11">
        <v>39576</v>
      </c>
      <c r="P62" s="11">
        <v>46251</v>
      </c>
      <c r="Q62" s="11">
        <f t="shared" si="6"/>
        <v>122520</v>
      </c>
      <c r="R62" s="11">
        <v>0</v>
      </c>
      <c r="S62" s="11">
        <f>122533-13</f>
        <v>122520</v>
      </c>
      <c r="T62" s="11">
        <v>0</v>
      </c>
      <c r="U62" s="11">
        <v>54384</v>
      </c>
      <c r="V62" s="11">
        <f>SUM(W62:AD62)</f>
        <v>474362</v>
      </c>
      <c r="W62" s="11">
        <v>23082</v>
      </c>
      <c r="X62" s="11">
        <v>0</v>
      </c>
      <c r="Y62" s="11">
        <v>0</v>
      </c>
      <c r="Z62" s="11">
        <v>0</v>
      </c>
      <c r="AA62" s="11">
        <v>0</v>
      </c>
      <c r="AB62" s="11">
        <v>451280</v>
      </c>
      <c r="AC62" s="11">
        <v>0</v>
      </c>
      <c r="AD62" s="11">
        <v>0</v>
      </c>
      <c r="AE62" s="11">
        <v>0</v>
      </c>
      <c r="AF62" s="11">
        <f>SUM(AG62:BB62)</f>
        <v>562445</v>
      </c>
      <c r="AG62" s="11"/>
      <c r="AH62" s="11"/>
      <c r="AI62" s="11"/>
      <c r="AJ62" s="11"/>
      <c r="AK62" s="11"/>
      <c r="AL62" s="11"/>
      <c r="AM62" s="11">
        <v>1753</v>
      </c>
      <c r="AN62" s="11"/>
      <c r="AO62" s="11">
        <v>0</v>
      </c>
      <c r="AP62" s="11">
        <v>435469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/>
      <c r="AW62" s="11"/>
      <c r="AX62" s="11">
        <v>0</v>
      </c>
      <c r="AY62" s="11">
        <v>0</v>
      </c>
      <c r="AZ62" s="11">
        <v>0</v>
      </c>
      <c r="BA62" s="11">
        <v>100128</v>
      </c>
      <c r="BB62" s="11">
        <v>25095</v>
      </c>
      <c r="BC62" s="11">
        <f>SUM(BD62+BH62+BL62+BM62+BN62+BQ62)</f>
        <v>0</v>
      </c>
      <c r="BD62" s="11">
        <f>SUM(BE62:BG62)</f>
        <v>0</v>
      </c>
      <c r="BE62" s="11">
        <v>0</v>
      </c>
      <c r="BF62" s="11">
        <v>0</v>
      </c>
      <c r="BG62" s="11">
        <v>0</v>
      </c>
      <c r="BH62" s="11">
        <f t="shared" si="7"/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f t="shared" si="8"/>
        <v>0</v>
      </c>
      <c r="BO62" s="11">
        <v>0</v>
      </c>
      <c r="BP62" s="11">
        <v>0</v>
      </c>
      <c r="BQ62" s="11">
        <f t="shared" si="9"/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f>SUM(CD62+CT62)</f>
        <v>51900</v>
      </c>
      <c r="CD62" s="11">
        <f>SUM(CE62+CH62+CM62)</f>
        <v>51900</v>
      </c>
      <c r="CE62" s="11">
        <f t="shared" si="10"/>
        <v>51900</v>
      </c>
      <c r="CF62" s="11">
        <v>0</v>
      </c>
      <c r="CG62" s="11">
        <v>51900</v>
      </c>
      <c r="CH62" s="11">
        <f>SUM(CI62:CL62)</f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f>SUM(CN62:CQ62)</f>
        <v>0</v>
      </c>
      <c r="CN62" s="11">
        <v>0</v>
      </c>
      <c r="CO62" s="11">
        <v>0</v>
      </c>
      <c r="CP62" s="11"/>
      <c r="CQ62" s="11">
        <v>0</v>
      </c>
      <c r="CR62" s="11">
        <v>0</v>
      </c>
      <c r="CS62" s="11">
        <v>0</v>
      </c>
      <c r="CT62" s="11">
        <v>0</v>
      </c>
      <c r="CU62" s="11">
        <f t="shared" si="11"/>
        <v>0</v>
      </c>
      <c r="CV62" s="11">
        <f t="shared" si="12"/>
        <v>0</v>
      </c>
      <c r="CW62" s="11">
        <v>0</v>
      </c>
      <c r="CX62" s="12">
        <v>0</v>
      </c>
    </row>
    <row r="63" spans="1:102" ht="31.5" x14ac:dyDescent="0.25">
      <c r="A63" s="7"/>
      <c r="B63" s="8" t="s">
        <v>155</v>
      </c>
      <c r="C63" s="8" t="s">
        <v>1</v>
      </c>
      <c r="D63" s="9" t="s">
        <v>156</v>
      </c>
      <c r="E63" s="10">
        <f t="shared" ref="E63:AL63" si="74">SUM(E64)</f>
        <v>750000</v>
      </c>
      <c r="F63" s="11">
        <f t="shared" si="74"/>
        <v>750000</v>
      </c>
      <c r="G63" s="11">
        <f t="shared" si="74"/>
        <v>750000</v>
      </c>
      <c r="H63" s="11">
        <f t="shared" si="74"/>
        <v>0</v>
      </c>
      <c r="I63" s="11">
        <f t="shared" si="74"/>
        <v>0</v>
      </c>
      <c r="J63" s="11">
        <f t="shared" si="74"/>
        <v>0</v>
      </c>
      <c r="K63" s="11">
        <f t="shared" si="74"/>
        <v>0</v>
      </c>
      <c r="L63" s="11">
        <f t="shared" si="74"/>
        <v>0</v>
      </c>
      <c r="M63" s="11">
        <f t="shared" si="74"/>
        <v>0</v>
      </c>
      <c r="N63" s="11">
        <f t="shared" si="74"/>
        <v>0</v>
      </c>
      <c r="O63" s="11">
        <f t="shared" si="74"/>
        <v>0</v>
      </c>
      <c r="P63" s="11">
        <f t="shared" si="74"/>
        <v>0</v>
      </c>
      <c r="Q63" s="11">
        <f t="shared" si="74"/>
        <v>0</v>
      </c>
      <c r="R63" s="11">
        <f t="shared" si="74"/>
        <v>0</v>
      </c>
      <c r="S63" s="11">
        <f t="shared" si="74"/>
        <v>0</v>
      </c>
      <c r="T63" s="11">
        <f t="shared" si="74"/>
        <v>0</v>
      </c>
      <c r="U63" s="11">
        <f t="shared" si="74"/>
        <v>0</v>
      </c>
      <c r="V63" s="11">
        <f t="shared" si="74"/>
        <v>0</v>
      </c>
      <c r="W63" s="11">
        <f t="shared" si="74"/>
        <v>0</v>
      </c>
      <c r="X63" s="11">
        <f t="shared" si="74"/>
        <v>0</v>
      </c>
      <c r="Y63" s="11">
        <f t="shared" si="74"/>
        <v>0</v>
      </c>
      <c r="Z63" s="11">
        <f t="shared" si="74"/>
        <v>0</v>
      </c>
      <c r="AA63" s="11">
        <f t="shared" si="74"/>
        <v>0</v>
      </c>
      <c r="AB63" s="11">
        <f t="shared" si="74"/>
        <v>0</v>
      </c>
      <c r="AC63" s="11">
        <f t="shared" si="74"/>
        <v>0</v>
      </c>
      <c r="AD63" s="11">
        <f t="shared" si="74"/>
        <v>0</v>
      </c>
      <c r="AE63" s="11">
        <f t="shared" si="74"/>
        <v>0</v>
      </c>
      <c r="AF63" s="11">
        <f t="shared" si="74"/>
        <v>750000</v>
      </c>
      <c r="AG63" s="11">
        <f t="shared" si="74"/>
        <v>0</v>
      </c>
      <c r="AH63" s="11">
        <f t="shared" si="74"/>
        <v>0</v>
      </c>
      <c r="AI63" s="11">
        <f t="shared" si="74"/>
        <v>0</v>
      </c>
      <c r="AJ63" s="11">
        <f t="shared" si="74"/>
        <v>0</v>
      </c>
      <c r="AK63" s="11">
        <f t="shared" si="74"/>
        <v>0</v>
      </c>
      <c r="AL63" s="11">
        <f t="shared" si="74"/>
        <v>0</v>
      </c>
      <c r="AM63" s="11">
        <f t="shared" ref="AM63:CX63" si="75">SUM(AM64)</f>
        <v>0</v>
      </c>
      <c r="AN63" s="11">
        <f t="shared" si="75"/>
        <v>0</v>
      </c>
      <c r="AO63" s="11">
        <f t="shared" si="75"/>
        <v>0</v>
      </c>
      <c r="AP63" s="11">
        <f t="shared" si="75"/>
        <v>0</v>
      </c>
      <c r="AQ63" s="11">
        <f t="shared" si="75"/>
        <v>0</v>
      </c>
      <c r="AR63" s="11">
        <f t="shared" si="75"/>
        <v>0</v>
      </c>
      <c r="AS63" s="11">
        <f t="shared" si="75"/>
        <v>0</v>
      </c>
      <c r="AT63" s="11">
        <f t="shared" si="75"/>
        <v>0</v>
      </c>
      <c r="AU63" s="11">
        <f t="shared" si="75"/>
        <v>0</v>
      </c>
      <c r="AV63" s="11"/>
      <c r="AW63" s="11"/>
      <c r="AX63" s="11">
        <f t="shared" si="75"/>
        <v>0</v>
      </c>
      <c r="AY63" s="11">
        <f t="shared" si="75"/>
        <v>0</v>
      </c>
      <c r="AZ63" s="11">
        <f t="shared" si="75"/>
        <v>0</v>
      </c>
      <c r="BA63" s="11">
        <f t="shared" si="75"/>
        <v>0</v>
      </c>
      <c r="BB63" s="11">
        <f t="shared" si="75"/>
        <v>750000</v>
      </c>
      <c r="BC63" s="11">
        <f t="shared" si="75"/>
        <v>0</v>
      </c>
      <c r="BD63" s="11">
        <f t="shared" si="75"/>
        <v>0</v>
      </c>
      <c r="BE63" s="11">
        <f t="shared" si="75"/>
        <v>0</v>
      </c>
      <c r="BF63" s="11">
        <f t="shared" si="75"/>
        <v>0</v>
      </c>
      <c r="BG63" s="11">
        <f t="shared" si="75"/>
        <v>0</v>
      </c>
      <c r="BH63" s="11">
        <f t="shared" si="75"/>
        <v>0</v>
      </c>
      <c r="BI63" s="11">
        <f t="shared" si="75"/>
        <v>0</v>
      </c>
      <c r="BJ63" s="11">
        <f t="shared" si="75"/>
        <v>0</v>
      </c>
      <c r="BK63" s="11">
        <f t="shared" si="75"/>
        <v>0</v>
      </c>
      <c r="BL63" s="11">
        <f t="shared" si="75"/>
        <v>0</v>
      </c>
      <c r="BM63" s="11">
        <f t="shared" si="75"/>
        <v>0</v>
      </c>
      <c r="BN63" s="11">
        <f t="shared" si="75"/>
        <v>0</v>
      </c>
      <c r="BO63" s="11">
        <f t="shared" si="75"/>
        <v>0</v>
      </c>
      <c r="BP63" s="11">
        <f t="shared" si="75"/>
        <v>0</v>
      </c>
      <c r="BQ63" s="11">
        <f t="shared" si="75"/>
        <v>0</v>
      </c>
      <c r="BR63" s="11">
        <f t="shared" si="75"/>
        <v>0</v>
      </c>
      <c r="BS63" s="11">
        <f t="shared" si="75"/>
        <v>0</v>
      </c>
      <c r="BT63" s="11">
        <f t="shared" si="75"/>
        <v>0</v>
      </c>
      <c r="BU63" s="11">
        <f t="shared" si="75"/>
        <v>0</v>
      </c>
      <c r="BV63" s="11">
        <f t="shared" si="75"/>
        <v>0</v>
      </c>
      <c r="BW63" s="11">
        <f t="shared" si="75"/>
        <v>0</v>
      </c>
      <c r="BX63" s="11">
        <f t="shared" si="75"/>
        <v>0</v>
      </c>
      <c r="BY63" s="11">
        <f t="shared" si="75"/>
        <v>0</v>
      </c>
      <c r="BZ63" s="11">
        <f t="shared" si="75"/>
        <v>0</v>
      </c>
      <c r="CA63" s="11">
        <f t="shared" si="75"/>
        <v>0</v>
      </c>
      <c r="CB63" s="11">
        <f t="shared" si="75"/>
        <v>0</v>
      </c>
      <c r="CC63" s="11">
        <f t="shared" si="75"/>
        <v>0</v>
      </c>
      <c r="CD63" s="11">
        <f t="shared" si="75"/>
        <v>0</v>
      </c>
      <c r="CE63" s="11">
        <f t="shared" si="75"/>
        <v>0</v>
      </c>
      <c r="CF63" s="11">
        <f t="shared" si="75"/>
        <v>0</v>
      </c>
      <c r="CG63" s="11">
        <f t="shared" si="75"/>
        <v>0</v>
      </c>
      <c r="CH63" s="11">
        <f t="shared" si="75"/>
        <v>0</v>
      </c>
      <c r="CI63" s="11">
        <f t="shared" si="75"/>
        <v>0</v>
      </c>
      <c r="CJ63" s="11">
        <f t="shared" si="75"/>
        <v>0</v>
      </c>
      <c r="CK63" s="11">
        <f t="shared" si="75"/>
        <v>0</v>
      </c>
      <c r="CL63" s="11">
        <f t="shared" si="75"/>
        <v>0</v>
      </c>
      <c r="CM63" s="11">
        <f t="shared" si="75"/>
        <v>0</v>
      </c>
      <c r="CN63" s="11">
        <f t="shared" si="75"/>
        <v>0</v>
      </c>
      <c r="CO63" s="11">
        <f t="shared" si="75"/>
        <v>0</v>
      </c>
      <c r="CP63" s="11"/>
      <c r="CQ63" s="11">
        <f t="shared" si="75"/>
        <v>0</v>
      </c>
      <c r="CR63" s="11">
        <f t="shared" si="75"/>
        <v>0</v>
      </c>
      <c r="CS63" s="11">
        <f t="shared" si="75"/>
        <v>0</v>
      </c>
      <c r="CT63" s="11">
        <f t="shared" si="75"/>
        <v>0</v>
      </c>
      <c r="CU63" s="11">
        <f t="shared" si="75"/>
        <v>0</v>
      </c>
      <c r="CV63" s="11">
        <f t="shared" si="75"/>
        <v>0</v>
      </c>
      <c r="CW63" s="11">
        <f t="shared" si="75"/>
        <v>0</v>
      </c>
      <c r="CX63" s="12">
        <f t="shared" si="75"/>
        <v>0</v>
      </c>
    </row>
    <row r="64" spans="1:102" ht="15.75" x14ac:dyDescent="0.25">
      <c r="A64" s="13" t="s">
        <v>1</v>
      </c>
      <c r="B64" s="14" t="s">
        <v>1</v>
      </c>
      <c r="C64" s="14" t="s">
        <v>82</v>
      </c>
      <c r="D64" s="15" t="s">
        <v>443</v>
      </c>
      <c r="E64" s="10">
        <f>SUM(F64+CC64+CU64)</f>
        <v>750000</v>
      </c>
      <c r="F64" s="11">
        <f>SUM(G64+BC64)</f>
        <v>750000</v>
      </c>
      <c r="G64" s="11">
        <f>SUM(H64+I64+J64+Q64+T64+U64+V64+AF64+AE64)</f>
        <v>750000</v>
      </c>
      <c r="H64" s="11">
        <v>0</v>
      </c>
      <c r="I64" s="11">
        <v>0</v>
      </c>
      <c r="J64" s="11">
        <f>SUM(K64:P64)</f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f t="shared" si="6"/>
        <v>0</v>
      </c>
      <c r="R64" s="11">
        <v>0</v>
      </c>
      <c r="S64" s="11">
        <v>0</v>
      </c>
      <c r="T64" s="11">
        <v>0</v>
      </c>
      <c r="U64" s="11">
        <v>0</v>
      </c>
      <c r="V64" s="11">
        <f>SUM(W64:AD64)</f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f>SUM(AG64:BB64)</f>
        <v>750000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/>
      <c r="AW64" s="11"/>
      <c r="AX64" s="11">
        <v>0</v>
      </c>
      <c r="AY64" s="11">
        <v>0</v>
      </c>
      <c r="AZ64" s="11">
        <v>0</v>
      </c>
      <c r="BA64" s="11">
        <v>0</v>
      </c>
      <c r="BB64" s="11">
        <f>1531800-781800</f>
        <v>750000</v>
      </c>
      <c r="BC64" s="11">
        <f>SUM(BD64+BH64+BL64+BM64+BN64+BQ64)</f>
        <v>0</v>
      </c>
      <c r="BD64" s="11">
        <f>SUM(BE64:BG64)</f>
        <v>0</v>
      </c>
      <c r="BE64" s="11">
        <v>0</v>
      </c>
      <c r="BF64" s="11">
        <v>0</v>
      </c>
      <c r="BG64" s="11">
        <v>0</v>
      </c>
      <c r="BH64" s="11">
        <f t="shared" si="7"/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f t="shared" si="8"/>
        <v>0</v>
      </c>
      <c r="BO64" s="11">
        <v>0</v>
      </c>
      <c r="BP64" s="11">
        <v>0</v>
      </c>
      <c r="BQ64" s="11">
        <f t="shared" si="9"/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f>SUM(CD64+CT64)</f>
        <v>0</v>
      </c>
      <c r="CD64" s="11">
        <f>SUM(CE64+CH64+CM64)</f>
        <v>0</v>
      </c>
      <c r="CE64" s="11">
        <f t="shared" si="10"/>
        <v>0</v>
      </c>
      <c r="CF64" s="11">
        <v>0</v>
      </c>
      <c r="CG64" s="11">
        <v>0</v>
      </c>
      <c r="CH64" s="11">
        <f>SUM(CI64:CL64)</f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f>SUM(CN64:CQ64)</f>
        <v>0</v>
      </c>
      <c r="CN64" s="11">
        <v>0</v>
      </c>
      <c r="CO64" s="11">
        <v>0</v>
      </c>
      <c r="CP64" s="11"/>
      <c r="CQ64" s="11">
        <v>0</v>
      </c>
      <c r="CR64" s="11">
        <v>0</v>
      </c>
      <c r="CS64" s="11">
        <v>0</v>
      </c>
      <c r="CT64" s="11">
        <v>0</v>
      </c>
      <c r="CU64" s="11">
        <f t="shared" si="11"/>
        <v>0</v>
      </c>
      <c r="CV64" s="11">
        <f t="shared" si="12"/>
        <v>0</v>
      </c>
      <c r="CW64" s="11">
        <v>0</v>
      </c>
      <c r="CX64" s="12">
        <v>0</v>
      </c>
    </row>
    <row r="65" spans="1:102" ht="15.75" x14ac:dyDescent="0.25">
      <c r="A65" s="18" t="s">
        <v>157</v>
      </c>
      <c r="B65" s="19" t="s">
        <v>1</v>
      </c>
      <c r="C65" s="19" t="s">
        <v>1</v>
      </c>
      <c r="D65" s="20" t="s">
        <v>158</v>
      </c>
      <c r="E65" s="21">
        <f t="shared" ref="E65:BT65" si="76">SUM(E66+E68)</f>
        <v>233066751</v>
      </c>
      <c r="F65" s="22">
        <f t="shared" si="76"/>
        <v>227073553</v>
      </c>
      <c r="G65" s="22">
        <f t="shared" si="76"/>
        <v>226042179</v>
      </c>
      <c r="H65" s="22">
        <f t="shared" si="76"/>
        <v>126392249</v>
      </c>
      <c r="I65" s="22">
        <f t="shared" si="76"/>
        <v>6493804</v>
      </c>
      <c r="J65" s="22">
        <f t="shared" si="76"/>
        <v>68580315</v>
      </c>
      <c r="K65" s="22">
        <f t="shared" si="76"/>
        <v>120602</v>
      </c>
      <c r="L65" s="22">
        <f t="shared" si="76"/>
        <v>22691637</v>
      </c>
      <c r="M65" s="22">
        <f t="shared" si="76"/>
        <v>21711285</v>
      </c>
      <c r="N65" s="22">
        <f t="shared" si="76"/>
        <v>1524782</v>
      </c>
      <c r="O65" s="22">
        <f t="shared" si="76"/>
        <v>20122190</v>
      </c>
      <c r="P65" s="22">
        <f t="shared" si="76"/>
        <v>2409819</v>
      </c>
      <c r="Q65" s="22">
        <f t="shared" si="76"/>
        <v>182325</v>
      </c>
      <c r="R65" s="22">
        <f t="shared" si="76"/>
        <v>79380</v>
      </c>
      <c r="S65" s="22">
        <f t="shared" si="76"/>
        <v>102945</v>
      </c>
      <c r="T65" s="22">
        <f t="shared" si="76"/>
        <v>0</v>
      </c>
      <c r="U65" s="22">
        <f t="shared" si="76"/>
        <v>803115</v>
      </c>
      <c r="V65" s="22">
        <f t="shared" si="76"/>
        <v>8037930</v>
      </c>
      <c r="W65" s="22">
        <f t="shared" si="76"/>
        <v>429591</v>
      </c>
      <c r="X65" s="22">
        <f t="shared" si="76"/>
        <v>2296234</v>
      </c>
      <c r="Y65" s="22">
        <f t="shared" si="76"/>
        <v>3585322</v>
      </c>
      <c r="Z65" s="22">
        <f t="shared" si="76"/>
        <v>1240813</v>
      </c>
      <c r="AA65" s="22">
        <f t="shared" si="76"/>
        <v>45553</v>
      </c>
      <c r="AB65" s="22">
        <f t="shared" si="76"/>
        <v>0</v>
      </c>
      <c r="AC65" s="22">
        <f t="shared" si="76"/>
        <v>0</v>
      </c>
      <c r="AD65" s="22">
        <f t="shared" si="76"/>
        <v>440417</v>
      </c>
      <c r="AE65" s="22">
        <f t="shared" si="76"/>
        <v>0</v>
      </c>
      <c r="AF65" s="22">
        <f t="shared" si="76"/>
        <v>15552441</v>
      </c>
      <c r="AG65" s="22">
        <f t="shared" si="76"/>
        <v>0</v>
      </c>
      <c r="AH65" s="22">
        <f t="shared" si="76"/>
        <v>0</v>
      </c>
      <c r="AI65" s="22">
        <f t="shared" si="76"/>
        <v>32201</v>
      </c>
      <c r="AJ65" s="22">
        <f t="shared" si="76"/>
        <v>243693</v>
      </c>
      <c r="AK65" s="22">
        <f t="shared" si="76"/>
        <v>10301</v>
      </c>
      <c r="AL65" s="22">
        <f t="shared" si="76"/>
        <v>2101</v>
      </c>
      <c r="AM65" s="22">
        <f t="shared" si="76"/>
        <v>0</v>
      </c>
      <c r="AN65" s="22">
        <f t="shared" si="76"/>
        <v>25852</v>
      </c>
      <c r="AO65" s="22">
        <f t="shared" si="76"/>
        <v>44056</v>
      </c>
      <c r="AP65" s="22">
        <f t="shared" si="76"/>
        <v>61692</v>
      </c>
      <c r="AQ65" s="22">
        <f t="shared" si="76"/>
        <v>7496</v>
      </c>
      <c r="AR65" s="22">
        <f t="shared" ref="AR65" si="77">SUM(AR66+AR68)</f>
        <v>0</v>
      </c>
      <c r="AS65" s="22">
        <f t="shared" si="76"/>
        <v>1817717</v>
      </c>
      <c r="AT65" s="22">
        <f t="shared" si="76"/>
        <v>160169</v>
      </c>
      <c r="AU65" s="22">
        <f t="shared" si="76"/>
        <v>0</v>
      </c>
      <c r="AV65" s="22"/>
      <c r="AW65" s="22"/>
      <c r="AX65" s="22">
        <f t="shared" si="76"/>
        <v>0</v>
      </c>
      <c r="AY65" s="22">
        <f t="shared" si="76"/>
        <v>8500044</v>
      </c>
      <c r="AZ65" s="22">
        <f t="shared" si="76"/>
        <v>0</v>
      </c>
      <c r="BA65" s="22">
        <f t="shared" si="76"/>
        <v>401125</v>
      </c>
      <c r="BB65" s="22">
        <f t="shared" si="76"/>
        <v>4245994</v>
      </c>
      <c r="BC65" s="22">
        <f t="shared" si="76"/>
        <v>1031374</v>
      </c>
      <c r="BD65" s="22">
        <f t="shared" si="76"/>
        <v>0</v>
      </c>
      <c r="BE65" s="22">
        <f t="shared" si="76"/>
        <v>0</v>
      </c>
      <c r="BF65" s="22">
        <f t="shared" si="76"/>
        <v>0</v>
      </c>
      <c r="BG65" s="22">
        <f t="shared" si="76"/>
        <v>0</v>
      </c>
      <c r="BH65" s="22">
        <f t="shared" si="76"/>
        <v>0</v>
      </c>
      <c r="BI65" s="22">
        <f t="shared" si="76"/>
        <v>0</v>
      </c>
      <c r="BJ65" s="22">
        <f t="shared" si="76"/>
        <v>0</v>
      </c>
      <c r="BK65" s="22">
        <f t="shared" si="76"/>
        <v>0</v>
      </c>
      <c r="BL65" s="22">
        <f t="shared" si="76"/>
        <v>0</v>
      </c>
      <c r="BM65" s="22">
        <f t="shared" si="76"/>
        <v>0</v>
      </c>
      <c r="BN65" s="22">
        <f t="shared" si="76"/>
        <v>285362</v>
      </c>
      <c r="BO65" s="22">
        <f t="shared" si="76"/>
        <v>285362</v>
      </c>
      <c r="BP65" s="22">
        <f t="shared" ref="BP65" si="78">SUM(BP66+BP68)</f>
        <v>0</v>
      </c>
      <c r="BQ65" s="22">
        <f t="shared" si="76"/>
        <v>746012</v>
      </c>
      <c r="BR65" s="22">
        <f t="shared" si="76"/>
        <v>0</v>
      </c>
      <c r="BS65" s="22">
        <f t="shared" si="76"/>
        <v>0</v>
      </c>
      <c r="BT65" s="22">
        <f t="shared" si="76"/>
        <v>0</v>
      </c>
      <c r="BU65" s="22">
        <f t="shared" ref="BU65:CX65" si="79">SUM(BU66+BU68)</f>
        <v>0</v>
      </c>
      <c r="BV65" s="22">
        <f t="shared" si="79"/>
        <v>0</v>
      </c>
      <c r="BW65" s="22">
        <f t="shared" si="79"/>
        <v>0</v>
      </c>
      <c r="BX65" s="22">
        <f t="shared" si="79"/>
        <v>0</v>
      </c>
      <c r="BY65" s="22">
        <f t="shared" si="79"/>
        <v>0</v>
      </c>
      <c r="BZ65" s="22">
        <f t="shared" si="79"/>
        <v>0</v>
      </c>
      <c r="CA65" s="22">
        <f t="shared" si="79"/>
        <v>407454</v>
      </c>
      <c r="CB65" s="22">
        <f t="shared" si="79"/>
        <v>338558</v>
      </c>
      <c r="CC65" s="22">
        <f t="shared" si="79"/>
        <v>5993198</v>
      </c>
      <c r="CD65" s="22">
        <f t="shared" si="79"/>
        <v>5993198</v>
      </c>
      <c r="CE65" s="22">
        <f t="shared" si="79"/>
        <v>4716855</v>
      </c>
      <c r="CF65" s="22">
        <f t="shared" si="79"/>
        <v>0</v>
      </c>
      <c r="CG65" s="22">
        <f t="shared" si="79"/>
        <v>4716855</v>
      </c>
      <c r="CH65" s="22">
        <f t="shared" si="79"/>
        <v>0</v>
      </c>
      <c r="CI65" s="22">
        <f t="shared" si="79"/>
        <v>0</v>
      </c>
      <c r="CJ65" s="22">
        <f t="shared" si="79"/>
        <v>0</v>
      </c>
      <c r="CK65" s="22">
        <f t="shared" si="79"/>
        <v>0</v>
      </c>
      <c r="CL65" s="22">
        <f t="shared" si="79"/>
        <v>0</v>
      </c>
      <c r="CM65" s="22">
        <f t="shared" si="79"/>
        <v>1276343</v>
      </c>
      <c r="CN65" s="22">
        <f t="shared" si="79"/>
        <v>45799</v>
      </c>
      <c r="CO65" s="22">
        <f t="shared" si="79"/>
        <v>1230544</v>
      </c>
      <c r="CP65" s="22"/>
      <c r="CQ65" s="22">
        <f t="shared" si="79"/>
        <v>0</v>
      </c>
      <c r="CR65" s="22">
        <f t="shared" si="79"/>
        <v>0</v>
      </c>
      <c r="CS65" s="22">
        <f t="shared" si="79"/>
        <v>0</v>
      </c>
      <c r="CT65" s="22">
        <f t="shared" si="79"/>
        <v>0</v>
      </c>
      <c r="CU65" s="22">
        <f t="shared" si="79"/>
        <v>0</v>
      </c>
      <c r="CV65" s="22">
        <f t="shared" si="79"/>
        <v>0</v>
      </c>
      <c r="CW65" s="22">
        <f t="shared" si="79"/>
        <v>0</v>
      </c>
      <c r="CX65" s="23">
        <f t="shared" si="79"/>
        <v>0</v>
      </c>
    </row>
    <row r="66" spans="1:102" ht="15.75" x14ac:dyDescent="0.25">
      <c r="A66" s="7"/>
      <c r="B66" s="8" t="s">
        <v>159</v>
      </c>
      <c r="C66" s="8" t="s">
        <v>1</v>
      </c>
      <c r="D66" s="9" t="s">
        <v>160</v>
      </c>
      <c r="E66" s="10">
        <f t="shared" ref="E66:BT66" si="80">SUM(E67)</f>
        <v>194311890</v>
      </c>
      <c r="F66" s="11">
        <f t="shared" si="80"/>
        <v>188709461</v>
      </c>
      <c r="G66" s="11">
        <f t="shared" si="80"/>
        <v>188011025</v>
      </c>
      <c r="H66" s="11">
        <f t="shared" si="80"/>
        <v>93976869</v>
      </c>
      <c r="I66" s="11">
        <f t="shared" si="80"/>
        <v>5756178</v>
      </c>
      <c r="J66" s="11">
        <f t="shared" si="80"/>
        <v>66311148</v>
      </c>
      <c r="K66" s="11">
        <f t="shared" si="80"/>
        <v>95605</v>
      </c>
      <c r="L66" s="11">
        <f t="shared" si="80"/>
        <v>21785278</v>
      </c>
      <c r="M66" s="11">
        <f t="shared" si="80"/>
        <v>21511680</v>
      </c>
      <c r="N66" s="11">
        <f t="shared" si="80"/>
        <v>1524782</v>
      </c>
      <c r="O66" s="11">
        <f t="shared" si="80"/>
        <v>19139222</v>
      </c>
      <c r="P66" s="11">
        <f t="shared" si="80"/>
        <v>2254581</v>
      </c>
      <c r="Q66" s="11">
        <f t="shared" si="80"/>
        <v>12194</v>
      </c>
      <c r="R66" s="11">
        <f t="shared" si="80"/>
        <v>12194</v>
      </c>
      <c r="S66" s="11">
        <f t="shared" si="80"/>
        <v>0</v>
      </c>
      <c r="T66" s="11">
        <f t="shared" si="80"/>
        <v>0</v>
      </c>
      <c r="U66" s="11">
        <f t="shared" si="80"/>
        <v>745868</v>
      </c>
      <c r="V66" s="11">
        <f t="shared" si="80"/>
        <v>8034828</v>
      </c>
      <c r="W66" s="11">
        <f t="shared" si="80"/>
        <v>426489</v>
      </c>
      <c r="X66" s="11">
        <f t="shared" si="80"/>
        <v>2296234</v>
      </c>
      <c r="Y66" s="11">
        <f t="shared" si="80"/>
        <v>3585322</v>
      </c>
      <c r="Z66" s="11">
        <f t="shared" si="80"/>
        <v>1240813</v>
      </c>
      <c r="AA66" s="11">
        <f t="shared" si="80"/>
        <v>45553</v>
      </c>
      <c r="AB66" s="11">
        <f t="shared" si="80"/>
        <v>0</v>
      </c>
      <c r="AC66" s="11">
        <f t="shared" si="80"/>
        <v>0</v>
      </c>
      <c r="AD66" s="11">
        <f t="shared" si="80"/>
        <v>440417</v>
      </c>
      <c r="AE66" s="11">
        <f t="shared" si="80"/>
        <v>0</v>
      </c>
      <c r="AF66" s="11">
        <f t="shared" si="80"/>
        <v>13173940</v>
      </c>
      <c r="AG66" s="11">
        <f t="shared" si="80"/>
        <v>0</v>
      </c>
      <c r="AH66" s="11">
        <f t="shared" si="80"/>
        <v>0</v>
      </c>
      <c r="AI66" s="11">
        <f t="shared" si="80"/>
        <v>31482</v>
      </c>
      <c r="AJ66" s="11">
        <f t="shared" si="80"/>
        <v>243693</v>
      </c>
      <c r="AK66" s="11">
        <f t="shared" si="80"/>
        <v>10301</v>
      </c>
      <c r="AL66" s="11">
        <f t="shared" si="80"/>
        <v>2101</v>
      </c>
      <c r="AM66" s="11">
        <f t="shared" si="80"/>
        <v>0</v>
      </c>
      <c r="AN66" s="11">
        <f t="shared" si="80"/>
        <v>25852</v>
      </c>
      <c r="AO66" s="11">
        <f t="shared" si="80"/>
        <v>35956</v>
      </c>
      <c r="AP66" s="11">
        <f t="shared" si="80"/>
        <v>32010</v>
      </c>
      <c r="AQ66" s="11">
        <f t="shared" si="80"/>
        <v>7496</v>
      </c>
      <c r="AR66" s="11">
        <f t="shared" si="80"/>
        <v>0</v>
      </c>
      <c r="AS66" s="11">
        <f t="shared" si="80"/>
        <v>1817717</v>
      </c>
      <c r="AT66" s="11">
        <f t="shared" si="80"/>
        <v>160169</v>
      </c>
      <c r="AU66" s="11">
        <f t="shared" si="80"/>
        <v>0</v>
      </c>
      <c r="AV66" s="11"/>
      <c r="AW66" s="11"/>
      <c r="AX66" s="11">
        <f t="shared" si="80"/>
        <v>0</v>
      </c>
      <c r="AY66" s="11">
        <f t="shared" si="80"/>
        <v>6160044</v>
      </c>
      <c r="AZ66" s="11">
        <f t="shared" si="80"/>
        <v>0</v>
      </c>
      <c r="BA66" s="11">
        <f t="shared" si="80"/>
        <v>401125</v>
      </c>
      <c r="BB66" s="11">
        <f t="shared" si="80"/>
        <v>4245994</v>
      </c>
      <c r="BC66" s="11">
        <f t="shared" si="80"/>
        <v>698436</v>
      </c>
      <c r="BD66" s="11">
        <f t="shared" si="80"/>
        <v>0</v>
      </c>
      <c r="BE66" s="11">
        <f t="shared" si="80"/>
        <v>0</v>
      </c>
      <c r="BF66" s="11">
        <f t="shared" si="80"/>
        <v>0</v>
      </c>
      <c r="BG66" s="11">
        <f t="shared" si="80"/>
        <v>0</v>
      </c>
      <c r="BH66" s="11">
        <f t="shared" si="80"/>
        <v>0</v>
      </c>
      <c r="BI66" s="11">
        <f t="shared" si="80"/>
        <v>0</v>
      </c>
      <c r="BJ66" s="11">
        <f t="shared" si="80"/>
        <v>0</v>
      </c>
      <c r="BK66" s="11">
        <f t="shared" si="80"/>
        <v>0</v>
      </c>
      <c r="BL66" s="11">
        <f t="shared" si="80"/>
        <v>0</v>
      </c>
      <c r="BM66" s="11">
        <f t="shared" si="80"/>
        <v>0</v>
      </c>
      <c r="BN66" s="11">
        <f t="shared" si="80"/>
        <v>285362</v>
      </c>
      <c r="BO66" s="11">
        <f t="shared" si="80"/>
        <v>285362</v>
      </c>
      <c r="BP66" s="11">
        <f t="shared" si="80"/>
        <v>0</v>
      </c>
      <c r="BQ66" s="11">
        <f t="shared" si="80"/>
        <v>413074</v>
      </c>
      <c r="BR66" s="11">
        <f t="shared" si="80"/>
        <v>0</v>
      </c>
      <c r="BS66" s="11">
        <f t="shared" si="80"/>
        <v>0</v>
      </c>
      <c r="BT66" s="11">
        <f t="shared" si="80"/>
        <v>0</v>
      </c>
      <c r="BU66" s="11">
        <f t="shared" ref="BU66:CX66" si="81">SUM(BU67)</f>
        <v>0</v>
      </c>
      <c r="BV66" s="11">
        <f t="shared" si="81"/>
        <v>0</v>
      </c>
      <c r="BW66" s="11">
        <f t="shared" si="81"/>
        <v>0</v>
      </c>
      <c r="BX66" s="11">
        <f t="shared" si="81"/>
        <v>0</v>
      </c>
      <c r="BY66" s="11">
        <f t="shared" si="81"/>
        <v>0</v>
      </c>
      <c r="BZ66" s="11">
        <f t="shared" si="81"/>
        <v>0</v>
      </c>
      <c r="CA66" s="11">
        <f t="shared" si="81"/>
        <v>74516</v>
      </c>
      <c r="CB66" s="11">
        <f t="shared" si="81"/>
        <v>338558</v>
      </c>
      <c r="CC66" s="11">
        <f t="shared" si="81"/>
        <v>5602429</v>
      </c>
      <c r="CD66" s="11">
        <f t="shared" si="81"/>
        <v>5602429</v>
      </c>
      <c r="CE66" s="11">
        <f t="shared" si="81"/>
        <v>4549357</v>
      </c>
      <c r="CF66" s="11">
        <f t="shared" si="81"/>
        <v>0</v>
      </c>
      <c r="CG66" s="11">
        <f t="shared" si="81"/>
        <v>4549357</v>
      </c>
      <c r="CH66" s="11">
        <f t="shared" si="81"/>
        <v>0</v>
      </c>
      <c r="CI66" s="11">
        <f t="shared" si="81"/>
        <v>0</v>
      </c>
      <c r="CJ66" s="11">
        <f t="shared" si="81"/>
        <v>0</v>
      </c>
      <c r="CK66" s="11">
        <f t="shared" si="81"/>
        <v>0</v>
      </c>
      <c r="CL66" s="11">
        <f t="shared" si="81"/>
        <v>0</v>
      </c>
      <c r="CM66" s="11">
        <f t="shared" si="81"/>
        <v>1053072</v>
      </c>
      <c r="CN66" s="11">
        <f t="shared" si="81"/>
        <v>45799</v>
      </c>
      <c r="CO66" s="11">
        <f t="shared" si="81"/>
        <v>1007273</v>
      </c>
      <c r="CP66" s="11"/>
      <c r="CQ66" s="11">
        <f t="shared" si="81"/>
        <v>0</v>
      </c>
      <c r="CR66" s="11">
        <f t="shared" si="81"/>
        <v>0</v>
      </c>
      <c r="CS66" s="11">
        <f t="shared" si="81"/>
        <v>0</v>
      </c>
      <c r="CT66" s="11">
        <f t="shared" si="81"/>
        <v>0</v>
      </c>
      <c r="CU66" s="11">
        <f t="shared" si="81"/>
        <v>0</v>
      </c>
      <c r="CV66" s="11">
        <f t="shared" si="81"/>
        <v>0</v>
      </c>
      <c r="CW66" s="11">
        <f t="shared" si="81"/>
        <v>0</v>
      </c>
      <c r="CX66" s="12">
        <f t="shared" si="81"/>
        <v>0</v>
      </c>
    </row>
    <row r="67" spans="1:102" ht="15.75" x14ac:dyDescent="0.25">
      <c r="A67" s="13"/>
      <c r="B67" s="14" t="s">
        <v>1</v>
      </c>
      <c r="C67" s="14" t="s">
        <v>161</v>
      </c>
      <c r="D67" s="15" t="s">
        <v>162</v>
      </c>
      <c r="E67" s="10">
        <f>SUM(F67+CC67+CU67)</f>
        <v>194311890</v>
      </c>
      <c r="F67" s="11">
        <f>SUM(G67+BC67)</f>
        <v>188709461</v>
      </c>
      <c r="G67" s="11">
        <f>SUM(H67+I67+J67+Q67+T67+U67+V67+AF67+AE67)</f>
        <v>188011025</v>
      </c>
      <c r="H67" s="16">
        <f>88127257+5875150-25538</f>
        <v>93976869</v>
      </c>
      <c r="I67" s="16">
        <f>4287390+1468788</f>
        <v>5756178</v>
      </c>
      <c r="J67" s="11">
        <f>SUM(K67:P67)</f>
        <v>66311148</v>
      </c>
      <c r="K67" s="16">
        <f>74996+20609</f>
        <v>95605</v>
      </c>
      <c r="L67" s="16">
        <f>19800303+292500+1692475</f>
        <v>21785278</v>
      </c>
      <c r="M67" s="16">
        <f>12438978+9756+11142979-2080033</f>
        <v>21511680</v>
      </c>
      <c r="N67" s="16">
        <f>1508770+16012</f>
        <v>1524782</v>
      </c>
      <c r="O67" s="16">
        <f>10889896+8249326</f>
        <v>19139222</v>
      </c>
      <c r="P67" s="16">
        <f>1596696+496829+161056</f>
        <v>2254581</v>
      </c>
      <c r="Q67" s="11">
        <f t="shared" si="6"/>
        <v>12194</v>
      </c>
      <c r="R67" s="16">
        <f>10000+2194</f>
        <v>12194</v>
      </c>
      <c r="S67" s="16"/>
      <c r="T67" s="11">
        <v>0</v>
      </c>
      <c r="U67" s="11">
        <f>734456+11412</f>
        <v>745868</v>
      </c>
      <c r="V67" s="11">
        <f>SUM(W67:AD67)</f>
        <v>8034828</v>
      </c>
      <c r="W67" s="16">
        <f>290050+104114+32325</f>
        <v>426489</v>
      </c>
      <c r="X67" s="16">
        <f>1892567+403667</f>
        <v>2296234</v>
      </c>
      <c r="Y67" s="16">
        <f>3191250+394072</f>
        <v>3585322</v>
      </c>
      <c r="Z67" s="16">
        <f>1082741+158072</f>
        <v>1240813</v>
      </c>
      <c r="AA67" s="16">
        <f>39025+6528</f>
        <v>45553</v>
      </c>
      <c r="AB67" s="16"/>
      <c r="AC67" s="16"/>
      <c r="AD67" s="16">
        <f>335651+34311+70455</f>
        <v>440417</v>
      </c>
      <c r="AE67" s="11"/>
      <c r="AF67" s="11">
        <f>SUM(AG67:BB67)</f>
        <v>13173940</v>
      </c>
      <c r="AG67" s="11">
        <v>0</v>
      </c>
      <c r="AH67" s="11"/>
      <c r="AI67" s="16">
        <v>31482</v>
      </c>
      <c r="AJ67" s="16">
        <f>135928+107765</f>
        <v>243693</v>
      </c>
      <c r="AK67" s="16">
        <f>0+10301</f>
        <v>10301</v>
      </c>
      <c r="AL67" s="16">
        <f>2100+1</f>
        <v>2101</v>
      </c>
      <c r="AM67" s="16"/>
      <c r="AN67" s="16">
        <f>24718+1134</f>
        <v>25852</v>
      </c>
      <c r="AO67" s="16">
        <f>35873+83</f>
        <v>35956</v>
      </c>
      <c r="AP67" s="16">
        <v>32010</v>
      </c>
      <c r="AQ67" s="16">
        <f>4921+2575</f>
        <v>7496</v>
      </c>
      <c r="AR67" s="16"/>
      <c r="AS67" s="16">
        <f>1195636+622081</f>
        <v>1817717</v>
      </c>
      <c r="AT67" s="16">
        <f>78789+81380</f>
        <v>160169</v>
      </c>
      <c r="AU67" s="16"/>
      <c r="AV67" s="16"/>
      <c r="AW67" s="11"/>
      <c r="AX67" s="11">
        <v>0</v>
      </c>
      <c r="AY67" s="11">
        <v>6160044</v>
      </c>
      <c r="AZ67" s="11">
        <v>0</v>
      </c>
      <c r="BA67" s="11">
        <f>387568+13557</f>
        <v>401125</v>
      </c>
      <c r="BB67" s="11">
        <f>2762754+318329+1164911</f>
        <v>4245994</v>
      </c>
      <c r="BC67" s="11">
        <f>SUM(BD67+BH67+BL67+BN67+BQ67)</f>
        <v>698436</v>
      </c>
      <c r="BD67" s="11">
        <f>SUM(BE67:BG67)</f>
        <v>0</v>
      </c>
      <c r="BE67" s="11">
        <v>0</v>
      </c>
      <c r="BF67" s="11">
        <v>0</v>
      </c>
      <c r="BG67" s="11">
        <v>0</v>
      </c>
      <c r="BH67" s="11">
        <f t="shared" si="7"/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f t="shared" si="8"/>
        <v>285362</v>
      </c>
      <c r="BO67" s="11">
        <v>285362</v>
      </c>
      <c r="BP67" s="11"/>
      <c r="BQ67" s="11">
        <f t="shared" si="9"/>
        <v>413074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74516</v>
      </c>
      <c r="CB67" s="11">
        <f>237817+100741</f>
        <v>338558</v>
      </c>
      <c r="CC67" s="11">
        <f>SUM(CD67+CT67)</f>
        <v>5602429</v>
      </c>
      <c r="CD67" s="11">
        <f>SUM(CE67+CH67+CM67)</f>
        <v>5602429</v>
      </c>
      <c r="CE67" s="11">
        <f t="shared" si="10"/>
        <v>4549357</v>
      </c>
      <c r="CF67" s="11">
        <v>0</v>
      </c>
      <c r="CG67" s="11">
        <f>2778779+1770578</f>
        <v>4549357</v>
      </c>
      <c r="CH67" s="11">
        <f>SUM(CI67:CL67)</f>
        <v>0</v>
      </c>
      <c r="CI67" s="11">
        <v>0</v>
      </c>
      <c r="CJ67" s="11">
        <v>0</v>
      </c>
      <c r="CK67" s="11">
        <v>0</v>
      </c>
      <c r="CL67" s="11">
        <v>0</v>
      </c>
      <c r="CM67" s="11">
        <f>SUM(CN67:CQ67)</f>
        <v>1053072</v>
      </c>
      <c r="CN67" s="11">
        <v>45799</v>
      </c>
      <c r="CO67" s="11">
        <f>386273+621000</f>
        <v>1007273</v>
      </c>
      <c r="CP67" s="11"/>
      <c r="CQ67" s="11">
        <v>0</v>
      </c>
      <c r="CR67" s="11"/>
      <c r="CS67" s="11"/>
      <c r="CT67" s="11">
        <v>0</v>
      </c>
      <c r="CU67" s="11">
        <f t="shared" si="11"/>
        <v>0</v>
      </c>
      <c r="CV67" s="11">
        <f t="shared" si="12"/>
        <v>0</v>
      </c>
      <c r="CW67" s="11">
        <v>0</v>
      </c>
      <c r="CX67" s="12">
        <v>0</v>
      </c>
    </row>
    <row r="68" spans="1:102" ht="15.75" x14ac:dyDescent="0.25">
      <c r="A68" s="7"/>
      <c r="B68" s="8" t="s">
        <v>163</v>
      </c>
      <c r="C68" s="8" t="s">
        <v>1</v>
      </c>
      <c r="D68" s="9" t="s">
        <v>164</v>
      </c>
      <c r="E68" s="10">
        <f t="shared" ref="E68:AL68" si="82">SUM(E69)</f>
        <v>38754861</v>
      </c>
      <c r="F68" s="11">
        <f t="shared" si="82"/>
        <v>38364092</v>
      </c>
      <c r="G68" s="11">
        <f t="shared" si="82"/>
        <v>38031154</v>
      </c>
      <c r="H68" s="11">
        <f t="shared" si="82"/>
        <v>32415380</v>
      </c>
      <c r="I68" s="11">
        <f t="shared" si="82"/>
        <v>737626</v>
      </c>
      <c r="J68" s="11">
        <f t="shared" si="82"/>
        <v>2269167</v>
      </c>
      <c r="K68" s="11">
        <f t="shared" si="82"/>
        <v>24997</v>
      </c>
      <c r="L68" s="11">
        <f t="shared" si="82"/>
        <v>906359</v>
      </c>
      <c r="M68" s="11">
        <f t="shared" si="82"/>
        <v>199605</v>
      </c>
      <c r="N68" s="11">
        <f t="shared" si="82"/>
        <v>0</v>
      </c>
      <c r="O68" s="11">
        <f t="shared" si="82"/>
        <v>982968</v>
      </c>
      <c r="P68" s="11">
        <f t="shared" si="82"/>
        <v>155238</v>
      </c>
      <c r="Q68" s="11">
        <f t="shared" si="82"/>
        <v>170131</v>
      </c>
      <c r="R68" s="11">
        <f t="shared" si="82"/>
        <v>67186</v>
      </c>
      <c r="S68" s="11">
        <f t="shared" si="82"/>
        <v>102945</v>
      </c>
      <c r="T68" s="11">
        <f t="shared" si="82"/>
        <v>0</v>
      </c>
      <c r="U68" s="11">
        <f t="shared" si="82"/>
        <v>57247</v>
      </c>
      <c r="V68" s="11">
        <f t="shared" si="82"/>
        <v>3102</v>
      </c>
      <c r="W68" s="11">
        <f t="shared" si="82"/>
        <v>3102</v>
      </c>
      <c r="X68" s="11">
        <f t="shared" si="82"/>
        <v>0</v>
      </c>
      <c r="Y68" s="11">
        <f t="shared" si="82"/>
        <v>0</v>
      </c>
      <c r="Z68" s="11">
        <f t="shared" si="82"/>
        <v>0</v>
      </c>
      <c r="AA68" s="11">
        <f t="shared" si="82"/>
        <v>0</v>
      </c>
      <c r="AB68" s="11">
        <f t="shared" si="82"/>
        <v>0</v>
      </c>
      <c r="AC68" s="11">
        <f t="shared" si="82"/>
        <v>0</v>
      </c>
      <c r="AD68" s="11">
        <f t="shared" si="82"/>
        <v>0</v>
      </c>
      <c r="AE68" s="11">
        <f t="shared" si="82"/>
        <v>0</v>
      </c>
      <c r="AF68" s="11">
        <f t="shared" si="82"/>
        <v>2378501</v>
      </c>
      <c r="AG68" s="11">
        <f t="shared" si="82"/>
        <v>0</v>
      </c>
      <c r="AH68" s="11">
        <f t="shared" si="82"/>
        <v>0</v>
      </c>
      <c r="AI68" s="11">
        <f t="shared" si="82"/>
        <v>719</v>
      </c>
      <c r="AJ68" s="11">
        <f t="shared" si="82"/>
        <v>0</v>
      </c>
      <c r="AK68" s="11">
        <f t="shared" si="82"/>
        <v>0</v>
      </c>
      <c r="AL68" s="11">
        <f t="shared" si="82"/>
        <v>0</v>
      </c>
      <c r="AM68" s="11">
        <f t="shared" ref="AM68:CX68" si="83">SUM(AM69)</f>
        <v>0</v>
      </c>
      <c r="AN68" s="11">
        <f t="shared" si="83"/>
        <v>0</v>
      </c>
      <c r="AO68" s="11">
        <f t="shared" si="83"/>
        <v>8100</v>
      </c>
      <c r="AP68" s="11">
        <f t="shared" si="83"/>
        <v>29682</v>
      </c>
      <c r="AQ68" s="11">
        <f t="shared" si="83"/>
        <v>0</v>
      </c>
      <c r="AR68" s="11">
        <f t="shared" si="83"/>
        <v>0</v>
      </c>
      <c r="AS68" s="11">
        <f t="shared" si="83"/>
        <v>0</v>
      </c>
      <c r="AT68" s="11">
        <f t="shared" si="83"/>
        <v>0</v>
      </c>
      <c r="AU68" s="11">
        <f t="shared" si="83"/>
        <v>0</v>
      </c>
      <c r="AV68" s="11"/>
      <c r="AW68" s="11"/>
      <c r="AX68" s="11">
        <f t="shared" si="83"/>
        <v>0</v>
      </c>
      <c r="AY68" s="11">
        <f t="shared" si="83"/>
        <v>2340000</v>
      </c>
      <c r="AZ68" s="11">
        <f t="shared" si="83"/>
        <v>0</v>
      </c>
      <c r="BA68" s="11">
        <f t="shared" si="83"/>
        <v>0</v>
      </c>
      <c r="BB68" s="11">
        <f t="shared" si="83"/>
        <v>0</v>
      </c>
      <c r="BC68" s="11">
        <f t="shared" si="83"/>
        <v>332938</v>
      </c>
      <c r="BD68" s="11">
        <f t="shared" si="83"/>
        <v>0</v>
      </c>
      <c r="BE68" s="11">
        <f t="shared" si="83"/>
        <v>0</v>
      </c>
      <c r="BF68" s="11">
        <f t="shared" si="83"/>
        <v>0</v>
      </c>
      <c r="BG68" s="11">
        <f t="shared" si="83"/>
        <v>0</v>
      </c>
      <c r="BH68" s="11">
        <f t="shared" si="83"/>
        <v>0</v>
      </c>
      <c r="BI68" s="11">
        <f t="shared" si="83"/>
        <v>0</v>
      </c>
      <c r="BJ68" s="11">
        <f t="shared" si="83"/>
        <v>0</v>
      </c>
      <c r="BK68" s="11">
        <f t="shared" si="83"/>
        <v>0</v>
      </c>
      <c r="BL68" s="11">
        <f t="shared" si="83"/>
        <v>0</v>
      </c>
      <c r="BM68" s="11">
        <f t="shared" si="83"/>
        <v>0</v>
      </c>
      <c r="BN68" s="11">
        <f t="shared" si="83"/>
        <v>0</v>
      </c>
      <c r="BO68" s="11">
        <f t="shared" si="83"/>
        <v>0</v>
      </c>
      <c r="BP68" s="11">
        <f t="shared" si="83"/>
        <v>0</v>
      </c>
      <c r="BQ68" s="11">
        <f t="shared" si="83"/>
        <v>332938</v>
      </c>
      <c r="BR68" s="11">
        <f t="shared" si="83"/>
        <v>0</v>
      </c>
      <c r="BS68" s="11">
        <f t="shared" si="83"/>
        <v>0</v>
      </c>
      <c r="BT68" s="11">
        <f t="shared" si="83"/>
        <v>0</v>
      </c>
      <c r="BU68" s="11">
        <f t="shared" si="83"/>
        <v>0</v>
      </c>
      <c r="BV68" s="11">
        <f t="shared" si="83"/>
        <v>0</v>
      </c>
      <c r="BW68" s="11">
        <f t="shared" si="83"/>
        <v>0</v>
      </c>
      <c r="BX68" s="11">
        <f t="shared" si="83"/>
        <v>0</v>
      </c>
      <c r="BY68" s="11">
        <f t="shared" si="83"/>
        <v>0</v>
      </c>
      <c r="BZ68" s="11">
        <f t="shared" si="83"/>
        <v>0</v>
      </c>
      <c r="CA68" s="11">
        <f t="shared" si="83"/>
        <v>332938</v>
      </c>
      <c r="CB68" s="11">
        <f t="shared" si="83"/>
        <v>0</v>
      </c>
      <c r="CC68" s="11">
        <f t="shared" si="83"/>
        <v>390769</v>
      </c>
      <c r="CD68" s="11">
        <f t="shared" si="83"/>
        <v>390769</v>
      </c>
      <c r="CE68" s="11">
        <f t="shared" si="83"/>
        <v>167498</v>
      </c>
      <c r="CF68" s="11">
        <f t="shared" si="83"/>
        <v>0</v>
      </c>
      <c r="CG68" s="11">
        <f t="shared" si="83"/>
        <v>167498</v>
      </c>
      <c r="CH68" s="11">
        <f t="shared" si="83"/>
        <v>0</v>
      </c>
      <c r="CI68" s="11">
        <f t="shared" si="83"/>
        <v>0</v>
      </c>
      <c r="CJ68" s="11">
        <f t="shared" si="83"/>
        <v>0</v>
      </c>
      <c r="CK68" s="11">
        <f t="shared" si="83"/>
        <v>0</v>
      </c>
      <c r="CL68" s="11">
        <f t="shared" si="83"/>
        <v>0</v>
      </c>
      <c r="CM68" s="11">
        <f t="shared" si="83"/>
        <v>223271</v>
      </c>
      <c r="CN68" s="11">
        <f t="shared" si="83"/>
        <v>0</v>
      </c>
      <c r="CO68" s="11">
        <f t="shared" si="83"/>
        <v>223271</v>
      </c>
      <c r="CP68" s="11"/>
      <c r="CQ68" s="11">
        <f t="shared" si="83"/>
        <v>0</v>
      </c>
      <c r="CR68" s="11">
        <f t="shared" si="83"/>
        <v>0</v>
      </c>
      <c r="CS68" s="11">
        <f t="shared" si="83"/>
        <v>0</v>
      </c>
      <c r="CT68" s="11">
        <f t="shared" si="83"/>
        <v>0</v>
      </c>
      <c r="CU68" s="11">
        <f t="shared" si="83"/>
        <v>0</v>
      </c>
      <c r="CV68" s="11">
        <f t="shared" si="83"/>
        <v>0</v>
      </c>
      <c r="CW68" s="11">
        <f t="shared" si="83"/>
        <v>0</v>
      </c>
      <c r="CX68" s="12">
        <f t="shared" si="83"/>
        <v>0</v>
      </c>
    </row>
    <row r="69" spans="1:102" ht="15.75" x14ac:dyDescent="0.25">
      <c r="A69" s="13" t="s">
        <v>1</v>
      </c>
      <c r="B69" s="14" t="s">
        <v>1</v>
      </c>
      <c r="C69" s="14" t="s">
        <v>161</v>
      </c>
      <c r="D69" s="15" t="s">
        <v>164</v>
      </c>
      <c r="E69" s="10">
        <f>SUM(F69+CC69+CU69)</f>
        <v>38754861</v>
      </c>
      <c r="F69" s="11">
        <f>SUM(G69+BC69)</f>
        <v>38364092</v>
      </c>
      <c r="G69" s="11">
        <f>SUM(H69+I69+J69+Q69+T69+U69+V69+AF69+AE69)</f>
        <v>38031154</v>
      </c>
      <c r="H69" s="16">
        <f>30982798+2065520-632938</f>
        <v>32415380</v>
      </c>
      <c r="I69" s="16">
        <f>221246+516380</f>
        <v>737626</v>
      </c>
      <c r="J69" s="11">
        <f>SUM(K69:P69)</f>
        <v>2269167</v>
      </c>
      <c r="K69" s="16">
        <v>24997</v>
      </c>
      <c r="L69" s="16">
        <f>499920+406439</f>
        <v>906359</v>
      </c>
      <c r="M69" s="16">
        <v>199605</v>
      </c>
      <c r="N69" s="16"/>
      <c r="O69" s="16">
        <v>982968</v>
      </c>
      <c r="P69" s="16">
        <f>78509+76729</f>
        <v>155238</v>
      </c>
      <c r="Q69" s="11">
        <f t="shared" si="6"/>
        <v>170131</v>
      </c>
      <c r="R69" s="11">
        <v>67186</v>
      </c>
      <c r="S69" s="11">
        <v>102945</v>
      </c>
      <c r="T69" s="11">
        <v>0</v>
      </c>
      <c r="U69" s="11">
        <f>57398-151</f>
        <v>57247</v>
      </c>
      <c r="V69" s="11">
        <f>SUM(W69:AD69)</f>
        <v>3102</v>
      </c>
      <c r="W69" s="11">
        <v>3102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SUM(AG69:BB69)</f>
        <v>2378501</v>
      </c>
      <c r="AG69" s="11">
        <v>0</v>
      </c>
      <c r="AH69" s="11"/>
      <c r="AI69" s="16">
        <v>719</v>
      </c>
      <c r="AJ69" s="16"/>
      <c r="AK69" s="16"/>
      <c r="AL69" s="16"/>
      <c r="AM69" s="16"/>
      <c r="AN69" s="16"/>
      <c r="AO69" s="16">
        <v>8100</v>
      </c>
      <c r="AP69" s="16">
        <v>29682</v>
      </c>
      <c r="AQ69" s="16"/>
      <c r="AR69" s="16"/>
      <c r="AS69" s="16"/>
      <c r="AT69" s="16"/>
      <c r="AU69" s="16"/>
      <c r="AV69" s="11"/>
      <c r="AW69" s="11"/>
      <c r="AX69" s="11">
        <v>0</v>
      </c>
      <c r="AY69" s="11">
        <v>2340000</v>
      </c>
      <c r="AZ69" s="11">
        <v>0</v>
      </c>
      <c r="BA69" s="11">
        <v>0</v>
      </c>
      <c r="BB69" s="11"/>
      <c r="BC69" s="11">
        <f>SUM(BD69+BH69+BL69+BN69+BQ69)</f>
        <v>332938</v>
      </c>
      <c r="BD69" s="11">
        <f>SUM(BE69:BG69)</f>
        <v>0</v>
      </c>
      <c r="BE69" s="11">
        <v>0</v>
      </c>
      <c r="BF69" s="11">
        <v>0</v>
      </c>
      <c r="BG69" s="11">
        <v>0</v>
      </c>
      <c r="BH69" s="11">
        <f t="shared" si="7"/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f t="shared" si="8"/>
        <v>0</v>
      </c>
      <c r="BO69" s="11">
        <v>0</v>
      </c>
      <c r="BP69" s="11">
        <v>0</v>
      </c>
      <c r="BQ69" s="11">
        <f t="shared" si="9"/>
        <v>332938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f>0+332938</f>
        <v>332938</v>
      </c>
      <c r="CB69" s="11"/>
      <c r="CC69" s="11">
        <f>SUM(CD69+CT69)</f>
        <v>390769</v>
      </c>
      <c r="CD69" s="11">
        <f>SUM(CE69+CH69+CM69)</f>
        <v>390769</v>
      </c>
      <c r="CE69" s="11">
        <f t="shared" si="10"/>
        <v>167498</v>
      </c>
      <c r="CF69" s="11">
        <v>0</v>
      </c>
      <c r="CG69" s="11">
        <v>167498</v>
      </c>
      <c r="CH69" s="11">
        <f>SUM(CI69:CL69)</f>
        <v>0</v>
      </c>
      <c r="CI69" s="11">
        <v>0</v>
      </c>
      <c r="CJ69" s="11">
        <v>0</v>
      </c>
      <c r="CK69" s="11">
        <v>0</v>
      </c>
      <c r="CL69" s="11">
        <v>0</v>
      </c>
      <c r="CM69" s="11">
        <f>SUM(CN69:CQ69)</f>
        <v>223271</v>
      </c>
      <c r="CN69" s="11">
        <v>0</v>
      </c>
      <c r="CO69" s="11">
        <f>0+223271</f>
        <v>223271</v>
      </c>
      <c r="CP69" s="11"/>
      <c r="CQ69" s="11">
        <v>0</v>
      </c>
      <c r="CR69" s="11">
        <v>0</v>
      </c>
      <c r="CS69" s="11">
        <v>0</v>
      </c>
      <c r="CT69" s="11">
        <v>0</v>
      </c>
      <c r="CU69" s="11">
        <f t="shared" si="11"/>
        <v>0</v>
      </c>
      <c r="CV69" s="11">
        <f t="shared" si="12"/>
        <v>0</v>
      </c>
      <c r="CW69" s="11">
        <v>0</v>
      </c>
      <c r="CX69" s="12">
        <v>0</v>
      </c>
    </row>
    <row r="70" spans="1:102" ht="47.25" x14ac:dyDescent="0.25">
      <c r="A70" s="18" t="s">
        <v>165</v>
      </c>
      <c r="B70" s="19" t="s">
        <v>1</v>
      </c>
      <c r="C70" s="19" t="s">
        <v>1</v>
      </c>
      <c r="D70" s="20" t="s">
        <v>166</v>
      </c>
      <c r="E70" s="21">
        <f>SUM(E71+E73+E76+E78+E80+E82+E86+E84)</f>
        <v>658311996</v>
      </c>
      <c r="F70" s="22">
        <f t="shared" ref="F70:BR70" si="84">SUM(F71+F73+F76+F78+F80+F82+F86+F84)</f>
        <v>639757490</v>
      </c>
      <c r="G70" s="22">
        <f t="shared" si="84"/>
        <v>637414292</v>
      </c>
      <c r="H70" s="22">
        <f t="shared" si="84"/>
        <v>442956606</v>
      </c>
      <c r="I70" s="22">
        <f t="shared" si="84"/>
        <v>19020807</v>
      </c>
      <c r="J70" s="22">
        <f t="shared" si="84"/>
        <v>83175126</v>
      </c>
      <c r="K70" s="22">
        <f t="shared" si="84"/>
        <v>992986</v>
      </c>
      <c r="L70" s="22">
        <f t="shared" si="84"/>
        <v>30902920</v>
      </c>
      <c r="M70" s="22">
        <f t="shared" si="84"/>
        <v>21199494</v>
      </c>
      <c r="N70" s="22">
        <f t="shared" si="84"/>
        <v>753752</v>
      </c>
      <c r="O70" s="22">
        <f t="shared" si="84"/>
        <v>22188188</v>
      </c>
      <c r="P70" s="22">
        <f t="shared" si="84"/>
        <v>7137786</v>
      </c>
      <c r="Q70" s="22">
        <f t="shared" si="84"/>
        <v>5965381</v>
      </c>
      <c r="R70" s="22">
        <f t="shared" si="84"/>
        <v>377791</v>
      </c>
      <c r="S70" s="22">
        <f t="shared" si="84"/>
        <v>5587590</v>
      </c>
      <c r="T70" s="22">
        <f t="shared" si="84"/>
        <v>17722</v>
      </c>
      <c r="U70" s="22">
        <f t="shared" si="84"/>
        <v>6250641</v>
      </c>
      <c r="V70" s="22">
        <f t="shared" si="84"/>
        <v>20573289</v>
      </c>
      <c r="W70" s="22">
        <f t="shared" si="84"/>
        <v>2011494</v>
      </c>
      <c r="X70" s="22">
        <f t="shared" si="84"/>
        <v>3794971</v>
      </c>
      <c r="Y70" s="22">
        <f t="shared" si="84"/>
        <v>9008185</v>
      </c>
      <c r="Z70" s="22">
        <f t="shared" si="84"/>
        <v>4273409</v>
      </c>
      <c r="AA70" s="22">
        <f t="shared" si="84"/>
        <v>523019</v>
      </c>
      <c r="AB70" s="22">
        <f t="shared" si="84"/>
        <v>256402</v>
      </c>
      <c r="AC70" s="22">
        <f t="shared" si="84"/>
        <v>0</v>
      </c>
      <c r="AD70" s="22">
        <f t="shared" si="84"/>
        <v>705809</v>
      </c>
      <c r="AE70" s="22">
        <f t="shared" si="84"/>
        <v>0</v>
      </c>
      <c r="AF70" s="22">
        <f t="shared" si="84"/>
        <v>59454720</v>
      </c>
      <c r="AG70" s="22">
        <f t="shared" si="84"/>
        <v>0</v>
      </c>
      <c r="AH70" s="22">
        <f t="shared" si="84"/>
        <v>0</v>
      </c>
      <c r="AI70" s="22">
        <f t="shared" si="84"/>
        <v>1133000</v>
      </c>
      <c r="AJ70" s="22">
        <f t="shared" si="84"/>
        <v>1445269</v>
      </c>
      <c r="AK70" s="22">
        <f t="shared" si="84"/>
        <v>0</v>
      </c>
      <c r="AL70" s="22">
        <f t="shared" si="84"/>
        <v>93072</v>
      </c>
      <c r="AM70" s="22">
        <f t="shared" si="84"/>
        <v>187705</v>
      </c>
      <c r="AN70" s="22">
        <f t="shared" si="84"/>
        <v>48211</v>
      </c>
      <c r="AO70" s="22">
        <f t="shared" si="84"/>
        <v>2395974</v>
      </c>
      <c r="AP70" s="22">
        <f t="shared" si="84"/>
        <v>163455</v>
      </c>
      <c r="AQ70" s="22">
        <f t="shared" si="84"/>
        <v>10942</v>
      </c>
      <c r="AR70" s="22">
        <f t="shared" ref="AR70" si="85">SUM(AR71+AR73+AR76+AR78+AR80+AR82+AR86+AR84)</f>
        <v>0</v>
      </c>
      <c r="AS70" s="22">
        <f t="shared" si="84"/>
        <v>2043178</v>
      </c>
      <c r="AT70" s="22">
        <f t="shared" si="84"/>
        <v>2025882</v>
      </c>
      <c r="AU70" s="22">
        <f t="shared" si="84"/>
        <v>37200</v>
      </c>
      <c r="AV70" s="22"/>
      <c r="AW70" s="22"/>
      <c r="AX70" s="22">
        <f t="shared" si="84"/>
        <v>0</v>
      </c>
      <c r="AY70" s="22">
        <f t="shared" si="84"/>
        <v>43385873</v>
      </c>
      <c r="AZ70" s="22">
        <f t="shared" si="84"/>
        <v>1034</v>
      </c>
      <c r="BA70" s="22">
        <f t="shared" si="84"/>
        <v>664251</v>
      </c>
      <c r="BB70" s="22">
        <f t="shared" si="84"/>
        <v>5819674</v>
      </c>
      <c r="BC70" s="22">
        <f t="shared" si="84"/>
        <v>2343198</v>
      </c>
      <c r="BD70" s="22">
        <f t="shared" si="84"/>
        <v>0</v>
      </c>
      <c r="BE70" s="22">
        <f t="shared" si="84"/>
        <v>0</v>
      </c>
      <c r="BF70" s="22">
        <f t="shared" si="84"/>
        <v>0</v>
      </c>
      <c r="BG70" s="22">
        <f t="shared" si="84"/>
        <v>0</v>
      </c>
      <c r="BH70" s="22">
        <f t="shared" si="84"/>
        <v>0</v>
      </c>
      <c r="BI70" s="22">
        <f t="shared" si="84"/>
        <v>0</v>
      </c>
      <c r="BJ70" s="22">
        <f t="shared" si="84"/>
        <v>0</v>
      </c>
      <c r="BK70" s="22">
        <f t="shared" si="84"/>
        <v>0</v>
      </c>
      <c r="BL70" s="22">
        <f t="shared" si="84"/>
        <v>0</v>
      </c>
      <c r="BM70" s="22">
        <f t="shared" si="84"/>
        <v>0</v>
      </c>
      <c r="BN70" s="22">
        <f t="shared" si="84"/>
        <v>609294</v>
      </c>
      <c r="BO70" s="22">
        <f t="shared" si="84"/>
        <v>609294</v>
      </c>
      <c r="BP70" s="22">
        <f t="shared" ref="BP70" si="86">SUM(BP71+BP73+BP76+BP78+BP80+BP82+BP86+BP84)</f>
        <v>0</v>
      </c>
      <c r="BQ70" s="22">
        <f t="shared" si="84"/>
        <v>1733904</v>
      </c>
      <c r="BR70" s="22">
        <f t="shared" si="84"/>
        <v>0</v>
      </c>
      <c r="BS70" s="22">
        <f t="shared" ref="BS70:CX70" si="87">SUM(BS71+BS73+BS76+BS78+BS80+BS82+BS86+BS84)</f>
        <v>0</v>
      </c>
      <c r="BT70" s="22">
        <f t="shared" si="87"/>
        <v>70771</v>
      </c>
      <c r="BU70" s="22">
        <f t="shared" si="87"/>
        <v>0</v>
      </c>
      <c r="BV70" s="22">
        <f t="shared" si="87"/>
        <v>0</v>
      </c>
      <c r="BW70" s="22">
        <f t="shared" si="87"/>
        <v>0</v>
      </c>
      <c r="BX70" s="22">
        <f t="shared" si="87"/>
        <v>0</v>
      </c>
      <c r="BY70" s="22">
        <f t="shared" si="87"/>
        <v>0</v>
      </c>
      <c r="BZ70" s="22">
        <f t="shared" si="87"/>
        <v>0</v>
      </c>
      <c r="CA70" s="22">
        <f t="shared" si="87"/>
        <v>1604138</v>
      </c>
      <c r="CB70" s="22">
        <f t="shared" si="87"/>
        <v>58995</v>
      </c>
      <c r="CC70" s="22">
        <f t="shared" si="87"/>
        <v>18554506</v>
      </c>
      <c r="CD70" s="22">
        <f t="shared" si="87"/>
        <v>18554506</v>
      </c>
      <c r="CE70" s="22">
        <f t="shared" si="87"/>
        <v>10972068</v>
      </c>
      <c r="CF70" s="22">
        <f t="shared" si="87"/>
        <v>0</v>
      </c>
      <c r="CG70" s="22">
        <f t="shared" si="87"/>
        <v>10972068</v>
      </c>
      <c r="CH70" s="22">
        <f t="shared" si="87"/>
        <v>276337</v>
      </c>
      <c r="CI70" s="22">
        <f t="shared" si="87"/>
        <v>0</v>
      </c>
      <c r="CJ70" s="22">
        <f t="shared" si="87"/>
        <v>0</v>
      </c>
      <c r="CK70" s="22">
        <f t="shared" si="87"/>
        <v>276337</v>
      </c>
      <c r="CL70" s="22">
        <f t="shared" si="87"/>
        <v>0</v>
      </c>
      <c r="CM70" s="22">
        <f t="shared" si="87"/>
        <v>7306101</v>
      </c>
      <c r="CN70" s="22">
        <f t="shared" si="87"/>
        <v>0</v>
      </c>
      <c r="CO70" s="22">
        <f t="shared" si="87"/>
        <v>7306101</v>
      </c>
      <c r="CP70" s="22"/>
      <c r="CQ70" s="22">
        <f t="shared" si="87"/>
        <v>0</v>
      </c>
      <c r="CR70" s="22">
        <f t="shared" si="87"/>
        <v>0</v>
      </c>
      <c r="CS70" s="22">
        <f t="shared" si="87"/>
        <v>0</v>
      </c>
      <c r="CT70" s="22">
        <f t="shared" si="87"/>
        <v>0</v>
      </c>
      <c r="CU70" s="22">
        <f t="shared" si="87"/>
        <v>0</v>
      </c>
      <c r="CV70" s="22">
        <f t="shared" si="87"/>
        <v>0</v>
      </c>
      <c r="CW70" s="22">
        <f t="shared" si="87"/>
        <v>0</v>
      </c>
      <c r="CX70" s="23">
        <f t="shared" si="87"/>
        <v>0</v>
      </c>
    </row>
    <row r="71" spans="1:102" ht="15.75" x14ac:dyDescent="0.25">
      <c r="A71" s="7"/>
      <c r="B71" s="8" t="s">
        <v>167</v>
      </c>
      <c r="C71" s="8" t="s">
        <v>1</v>
      </c>
      <c r="D71" s="9" t="s">
        <v>168</v>
      </c>
      <c r="E71" s="10">
        <f t="shared" ref="E71:BT71" si="88">SUM(E72)</f>
        <v>292051570</v>
      </c>
      <c r="F71" s="11">
        <f t="shared" si="88"/>
        <v>281290789</v>
      </c>
      <c r="G71" s="11">
        <f t="shared" si="88"/>
        <v>280382502</v>
      </c>
      <c r="H71" s="11">
        <f t="shared" si="88"/>
        <v>203154657</v>
      </c>
      <c r="I71" s="11">
        <f t="shared" si="88"/>
        <v>9585948</v>
      </c>
      <c r="J71" s="11">
        <f t="shared" si="88"/>
        <v>34179202</v>
      </c>
      <c r="K71" s="11">
        <f t="shared" si="88"/>
        <v>302102</v>
      </c>
      <c r="L71" s="11">
        <f t="shared" si="88"/>
        <v>17031843</v>
      </c>
      <c r="M71" s="11">
        <f t="shared" si="88"/>
        <v>3792141</v>
      </c>
      <c r="N71" s="11">
        <f t="shared" si="88"/>
        <v>0</v>
      </c>
      <c r="O71" s="11">
        <f t="shared" si="88"/>
        <v>9503261</v>
      </c>
      <c r="P71" s="11">
        <f t="shared" si="88"/>
        <v>3549855</v>
      </c>
      <c r="Q71" s="11">
        <f t="shared" si="88"/>
        <v>327489</v>
      </c>
      <c r="R71" s="11">
        <f t="shared" si="88"/>
        <v>55141</v>
      </c>
      <c r="S71" s="11">
        <f t="shared" si="88"/>
        <v>272348</v>
      </c>
      <c r="T71" s="11">
        <f t="shared" si="88"/>
        <v>0</v>
      </c>
      <c r="U71" s="11">
        <f t="shared" si="88"/>
        <v>3800000</v>
      </c>
      <c r="V71" s="11">
        <f t="shared" si="88"/>
        <v>6996279</v>
      </c>
      <c r="W71" s="11">
        <f t="shared" si="88"/>
        <v>170583</v>
      </c>
      <c r="X71" s="11">
        <f t="shared" si="88"/>
        <v>2705859</v>
      </c>
      <c r="Y71" s="11">
        <f t="shared" si="88"/>
        <v>2714386</v>
      </c>
      <c r="Z71" s="11">
        <f t="shared" si="88"/>
        <v>994849</v>
      </c>
      <c r="AA71" s="11">
        <f t="shared" si="88"/>
        <v>203766</v>
      </c>
      <c r="AB71" s="11">
        <f t="shared" si="88"/>
        <v>67872</v>
      </c>
      <c r="AC71" s="11">
        <f t="shared" si="88"/>
        <v>0</v>
      </c>
      <c r="AD71" s="11">
        <f t="shared" si="88"/>
        <v>138964</v>
      </c>
      <c r="AE71" s="11">
        <f t="shared" si="88"/>
        <v>0</v>
      </c>
      <c r="AF71" s="11">
        <f t="shared" si="88"/>
        <v>22338927</v>
      </c>
      <c r="AG71" s="11">
        <f t="shared" si="88"/>
        <v>0</v>
      </c>
      <c r="AH71" s="11">
        <f t="shared" si="88"/>
        <v>0</v>
      </c>
      <c r="AI71" s="11">
        <f t="shared" si="88"/>
        <v>131214</v>
      </c>
      <c r="AJ71" s="11">
        <f t="shared" si="88"/>
        <v>189893</v>
      </c>
      <c r="AK71" s="11">
        <f t="shared" si="88"/>
        <v>0</v>
      </c>
      <c r="AL71" s="11">
        <f t="shared" si="88"/>
        <v>54491</v>
      </c>
      <c r="AM71" s="11">
        <f t="shared" si="88"/>
        <v>70735</v>
      </c>
      <c r="AN71" s="11">
        <f t="shared" si="88"/>
        <v>32011</v>
      </c>
      <c r="AO71" s="11">
        <f t="shared" si="88"/>
        <v>2118099</v>
      </c>
      <c r="AP71" s="11">
        <f t="shared" si="88"/>
        <v>18042</v>
      </c>
      <c r="AQ71" s="11">
        <f t="shared" si="88"/>
        <v>4476</v>
      </c>
      <c r="AR71" s="11">
        <f t="shared" si="88"/>
        <v>0</v>
      </c>
      <c r="AS71" s="11">
        <f t="shared" si="88"/>
        <v>831096</v>
      </c>
      <c r="AT71" s="11">
        <f t="shared" si="88"/>
        <v>1241321</v>
      </c>
      <c r="AU71" s="11">
        <f t="shared" si="88"/>
        <v>0</v>
      </c>
      <c r="AV71" s="11"/>
      <c r="AW71" s="11"/>
      <c r="AX71" s="11">
        <f t="shared" si="88"/>
        <v>0</v>
      </c>
      <c r="AY71" s="11">
        <f t="shared" si="88"/>
        <v>13089498</v>
      </c>
      <c r="AZ71" s="11">
        <f t="shared" si="88"/>
        <v>0</v>
      </c>
      <c r="BA71" s="11">
        <f t="shared" si="88"/>
        <v>23912</v>
      </c>
      <c r="BB71" s="11">
        <f t="shared" si="88"/>
        <v>4534139</v>
      </c>
      <c r="BC71" s="11">
        <f t="shared" si="88"/>
        <v>908287</v>
      </c>
      <c r="BD71" s="11">
        <f t="shared" si="88"/>
        <v>0</v>
      </c>
      <c r="BE71" s="11">
        <f t="shared" si="88"/>
        <v>0</v>
      </c>
      <c r="BF71" s="11">
        <f t="shared" si="88"/>
        <v>0</v>
      </c>
      <c r="BG71" s="11">
        <f t="shared" si="88"/>
        <v>0</v>
      </c>
      <c r="BH71" s="11">
        <f t="shared" si="88"/>
        <v>0</v>
      </c>
      <c r="BI71" s="11">
        <f t="shared" si="88"/>
        <v>0</v>
      </c>
      <c r="BJ71" s="11">
        <f t="shared" si="88"/>
        <v>0</v>
      </c>
      <c r="BK71" s="11">
        <f t="shared" si="88"/>
        <v>0</v>
      </c>
      <c r="BL71" s="11">
        <f t="shared" si="88"/>
        <v>0</v>
      </c>
      <c r="BM71" s="11">
        <f t="shared" si="88"/>
        <v>0</v>
      </c>
      <c r="BN71" s="11">
        <f t="shared" si="88"/>
        <v>304566</v>
      </c>
      <c r="BO71" s="11">
        <f t="shared" si="88"/>
        <v>304566</v>
      </c>
      <c r="BP71" s="11">
        <f t="shared" si="88"/>
        <v>0</v>
      </c>
      <c r="BQ71" s="11">
        <f t="shared" si="88"/>
        <v>603721</v>
      </c>
      <c r="BR71" s="11">
        <f t="shared" si="88"/>
        <v>0</v>
      </c>
      <c r="BS71" s="11">
        <f t="shared" si="88"/>
        <v>0</v>
      </c>
      <c r="BT71" s="11">
        <f t="shared" si="88"/>
        <v>70771</v>
      </c>
      <c r="BU71" s="11">
        <f t="shared" ref="BU71:CX71" si="89">SUM(BU72)</f>
        <v>0</v>
      </c>
      <c r="BV71" s="11">
        <f t="shared" si="89"/>
        <v>0</v>
      </c>
      <c r="BW71" s="11">
        <f t="shared" si="89"/>
        <v>0</v>
      </c>
      <c r="BX71" s="11">
        <f t="shared" si="89"/>
        <v>0</v>
      </c>
      <c r="BY71" s="11">
        <f t="shared" si="89"/>
        <v>0</v>
      </c>
      <c r="BZ71" s="11">
        <f t="shared" si="89"/>
        <v>0</v>
      </c>
      <c r="CA71" s="11">
        <f t="shared" si="89"/>
        <v>473955</v>
      </c>
      <c r="CB71" s="11">
        <f t="shared" si="89"/>
        <v>58995</v>
      </c>
      <c r="CC71" s="11">
        <f t="shared" si="89"/>
        <v>10760781</v>
      </c>
      <c r="CD71" s="11">
        <f t="shared" si="89"/>
        <v>10760781</v>
      </c>
      <c r="CE71" s="11">
        <f t="shared" si="89"/>
        <v>6645855</v>
      </c>
      <c r="CF71" s="11">
        <f t="shared" si="89"/>
        <v>0</v>
      </c>
      <c r="CG71" s="11">
        <f t="shared" si="89"/>
        <v>6645855</v>
      </c>
      <c r="CH71" s="11">
        <f t="shared" si="89"/>
        <v>0</v>
      </c>
      <c r="CI71" s="11">
        <f t="shared" si="89"/>
        <v>0</v>
      </c>
      <c r="CJ71" s="11">
        <f t="shared" si="89"/>
        <v>0</v>
      </c>
      <c r="CK71" s="11">
        <f t="shared" si="89"/>
        <v>0</v>
      </c>
      <c r="CL71" s="11">
        <f t="shared" si="89"/>
        <v>0</v>
      </c>
      <c r="CM71" s="11">
        <f t="shared" si="89"/>
        <v>4114926</v>
      </c>
      <c r="CN71" s="11">
        <f t="shared" si="89"/>
        <v>0</v>
      </c>
      <c r="CO71" s="11">
        <f t="shared" si="89"/>
        <v>4114926</v>
      </c>
      <c r="CP71" s="11"/>
      <c r="CQ71" s="11">
        <f t="shared" si="89"/>
        <v>0</v>
      </c>
      <c r="CR71" s="11">
        <f t="shared" si="89"/>
        <v>0</v>
      </c>
      <c r="CS71" s="11">
        <f t="shared" si="89"/>
        <v>0</v>
      </c>
      <c r="CT71" s="11">
        <f t="shared" si="89"/>
        <v>0</v>
      </c>
      <c r="CU71" s="11">
        <f t="shared" si="89"/>
        <v>0</v>
      </c>
      <c r="CV71" s="11">
        <f t="shared" si="89"/>
        <v>0</v>
      </c>
      <c r="CW71" s="11">
        <f t="shared" si="89"/>
        <v>0</v>
      </c>
      <c r="CX71" s="12">
        <f t="shared" si="89"/>
        <v>0</v>
      </c>
    </row>
    <row r="72" spans="1:102" ht="15.75" x14ac:dyDescent="0.25">
      <c r="A72" s="13"/>
      <c r="B72" s="14" t="s">
        <v>1</v>
      </c>
      <c r="C72" s="14" t="s">
        <v>169</v>
      </c>
      <c r="D72" s="15" t="s">
        <v>170</v>
      </c>
      <c r="E72" s="10">
        <f>SUM(F72+CC72+CU72)</f>
        <v>292051570</v>
      </c>
      <c r="F72" s="11">
        <f>SUM(G72+BC72)</f>
        <v>281290789</v>
      </c>
      <c r="G72" s="11">
        <f>SUM(H72+I72+J72+Q72+T72+U72+V72+AF72+AE72)</f>
        <v>280382502</v>
      </c>
      <c r="H72" s="16">
        <f>193513809+5160368+4480480</f>
        <v>203154657</v>
      </c>
      <c r="I72" s="16">
        <f>8295856+1290092</f>
        <v>9585948</v>
      </c>
      <c r="J72" s="11">
        <f>SUM(K72:P72)</f>
        <v>34179202</v>
      </c>
      <c r="K72" s="16">
        <f>284897+17205</f>
        <v>302102</v>
      </c>
      <c r="L72" s="16">
        <f>14112463+321750+2597630</f>
        <v>17031843</v>
      </c>
      <c r="M72" s="16">
        <v>3792141</v>
      </c>
      <c r="N72" s="16"/>
      <c r="O72" s="16">
        <f>8075064+799301+173164+455732</f>
        <v>9503261</v>
      </c>
      <c r="P72" s="16">
        <f>3357079+84326+108450</f>
        <v>3549855</v>
      </c>
      <c r="Q72" s="11">
        <f t="shared" si="6"/>
        <v>327489</v>
      </c>
      <c r="R72" s="16">
        <v>55141</v>
      </c>
      <c r="S72" s="16">
        <v>272348</v>
      </c>
      <c r="T72" s="11">
        <v>0</v>
      </c>
      <c r="U72" s="11">
        <v>3800000</v>
      </c>
      <c r="V72" s="11">
        <f>SUM(W72:AD72)</f>
        <v>6996279</v>
      </c>
      <c r="W72" s="16">
        <v>170583</v>
      </c>
      <c r="X72" s="16">
        <f>2690649-20972+36182</f>
        <v>2705859</v>
      </c>
      <c r="Y72" s="16">
        <f>2663325+51061</f>
        <v>2714386</v>
      </c>
      <c r="Z72" s="16">
        <f>987053+7796</f>
        <v>994849</v>
      </c>
      <c r="AA72" s="16">
        <v>203766</v>
      </c>
      <c r="AB72" s="16">
        <f>47123+20749</f>
        <v>67872</v>
      </c>
      <c r="AC72" s="16"/>
      <c r="AD72" s="16">
        <v>138964</v>
      </c>
      <c r="AE72" s="11"/>
      <c r="AF72" s="11">
        <f>SUM(AG72:BB72)</f>
        <v>22338927</v>
      </c>
      <c r="AG72" s="11">
        <v>0</v>
      </c>
      <c r="AH72" s="11"/>
      <c r="AI72" s="16">
        <v>131214</v>
      </c>
      <c r="AJ72" s="16">
        <v>189893</v>
      </c>
      <c r="AK72" s="16"/>
      <c r="AL72" s="16">
        <v>54491</v>
      </c>
      <c r="AM72" s="16">
        <v>70735</v>
      </c>
      <c r="AN72" s="16">
        <v>32011</v>
      </c>
      <c r="AO72" s="16">
        <f>1482461+635638</f>
        <v>2118099</v>
      </c>
      <c r="AP72" s="16">
        <v>18042</v>
      </c>
      <c r="AQ72" s="16">
        <v>4476</v>
      </c>
      <c r="AR72" s="16"/>
      <c r="AS72" s="16">
        <f>168950+662146</f>
        <v>831096</v>
      </c>
      <c r="AT72" s="16">
        <v>1241321</v>
      </c>
      <c r="AU72" s="16"/>
      <c r="AV72" s="16"/>
      <c r="AW72" s="11"/>
      <c r="AX72" s="11">
        <v>0</v>
      </c>
      <c r="AY72" s="16">
        <f>17569978-4480480</f>
        <v>13089498</v>
      </c>
      <c r="AZ72" s="16"/>
      <c r="BA72" s="16">
        <f>197076-173164</f>
        <v>23912</v>
      </c>
      <c r="BB72" s="16">
        <v>4534139</v>
      </c>
      <c r="BC72" s="11">
        <f>SUM(BD72+BH72+BL72+BN72+BQ72)</f>
        <v>908287</v>
      </c>
      <c r="BD72" s="11">
        <f>SUM(BE72:BG72)</f>
        <v>0</v>
      </c>
      <c r="BE72" s="11">
        <v>0</v>
      </c>
      <c r="BF72" s="11">
        <v>0</v>
      </c>
      <c r="BG72" s="11">
        <v>0</v>
      </c>
      <c r="BH72" s="11">
        <f t="shared" si="7"/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f t="shared" si="8"/>
        <v>304566</v>
      </c>
      <c r="BO72" s="11">
        <v>304566</v>
      </c>
      <c r="BP72" s="11"/>
      <c r="BQ72" s="11">
        <f t="shared" si="9"/>
        <v>603721</v>
      </c>
      <c r="BR72" s="11">
        <v>0</v>
      </c>
      <c r="BS72" s="11">
        <v>0</v>
      </c>
      <c r="BT72" s="11">
        <v>70771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0</v>
      </c>
      <c r="CA72" s="11">
        <v>473955</v>
      </c>
      <c r="CB72" s="11">
        <v>58995</v>
      </c>
      <c r="CC72" s="11">
        <f>SUM(CD72+CT72)</f>
        <v>10760781</v>
      </c>
      <c r="CD72" s="11">
        <f>SUM(CE72+CH72+CM72)</f>
        <v>10760781</v>
      </c>
      <c r="CE72" s="11">
        <f t="shared" si="10"/>
        <v>6645855</v>
      </c>
      <c r="CF72" s="11">
        <v>0</v>
      </c>
      <c r="CG72" s="11">
        <f>4024750+1080405+1540700</f>
        <v>6645855</v>
      </c>
      <c r="CH72" s="11">
        <f>SUM(CI72:CL72)</f>
        <v>0</v>
      </c>
      <c r="CI72" s="11">
        <v>0</v>
      </c>
      <c r="CJ72" s="11">
        <v>0</v>
      </c>
      <c r="CK72" s="11"/>
      <c r="CL72" s="11"/>
      <c r="CM72" s="11">
        <f>SUM(CN72:CQ72)</f>
        <v>4114926</v>
      </c>
      <c r="CN72" s="11"/>
      <c r="CO72" s="11">
        <v>4114926</v>
      </c>
      <c r="CP72" s="11"/>
      <c r="CQ72" s="11">
        <v>0</v>
      </c>
      <c r="CR72" s="11"/>
      <c r="CS72" s="11"/>
      <c r="CT72" s="11">
        <v>0</v>
      </c>
      <c r="CU72" s="11">
        <f t="shared" si="11"/>
        <v>0</v>
      </c>
      <c r="CV72" s="11">
        <f t="shared" si="12"/>
        <v>0</v>
      </c>
      <c r="CW72" s="11">
        <v>0</v>
      </c>
      <c r="CX72" s="12">
        <v>0</v>
      </c>
    </row>
    <row r="73" spans="1:102" ht="31.5" x14ac:dyDescent="0.25">
      <c r="A73" s="7"/>
      <c r="B73" s="8" t="s">
        <v>171</v>
      </c>
      <c r="C73" s="8" t="s">
        <v>1</v>
      </c>
      <c r="D73" s="9" t="s">
        <v>444</v>
      </c>
      <c r="E73" s="10">
        <f>SUM(E74:E75)</f>
        <v>104988481</v>
      </c>
      <c r="F73" s="11">
        <f t="shared" ref="F73:BW73" si="90">SUM(F74:F75)</f>
        <v>104128036</v>
      </c>
      <c r="G73" s="11">
        <f t="shared" si="90"/>
        <v>103963036</v>
      </c>
      <c r="H73" s="11">
        <f t="shared" si="90"/>
        <v>61560435</v>
      </c>
      <c r="I73" s="11">
        <f t="shared" si="90"/>
        <v>2740586</v>
      </c>
      <c r="J73" s="11">
        <f t="shared" si="90"/>
        <v>25192520</v>
      </c>
      <c r="K73" s="11">
        <f t="shared" si="90"/>
        <v>401973</v>
      </c>
      <c r="L73" s="11">
        <f t="shared" si="90"/>
        <v>4935870</v>
      </c>
      <c r="M73" s="11">
        <f t="shared" si="90"/>
        <v>16843656</v>
      </c>
      <c r="N73" s="11">
        <f t="shared" si="90"/>
        <v>0</v>
      </c>
      <c r="O73" s="11">
        <f t="shared" si="90"/>
        <v>2147325</v>
      </c>
      <c r="P73" s="11">
        <f t="shared" si="90"/>
        <v>863696</v>
      </c>
      <c r="Q73" s="11">
        <f t="shared" si="90"/>
        <v>26692</v>
      </c>
      <c r="R73" s="11">
        <f t="shared" si="90"/>
        <v>23026</v>
      </c>
      <c r="S73" s="11">
        <f t="shared" si="90"/>
        <v>3666</v>
      </c>
      <c r="T73" s="11">
        <f t="shared" si="90"/>
        <v>0</v>
      </c>
      <c r="U73" s="11">
        <f t="shared" si="90"/>
        <v>439281</v>
      </c>
      <c r="V73" s="11">
        <f t="shared" si="90"/>
        <v>8260625</v>
      </c>
      <c r="W73" s="11">
        <f t="shared" si="90"/>
        <v>514132</v>
      </c>
      <c r="X73" s="11">
        <f t="shared" si="90"/>
        <v>68109</v>
      </c>
      <c r="Y73" s="11">
        <f t="shared" si="90"/>
        <v>4049252</v>
      </c>
      <c r="Z73" s="11">
        <f t="shared" si="90"/>
        <v>3037738</v>
      </c>
      <c r="AA73" s="11">
        <f t="shared" si="90"/>
        <v>154739</v>
      </c>
      <c r="AB73" s="11">
        <f t="shared" si="90"/>
        <v>0</v>
      </c>
      <c r="AC73" s="11">
        <f t="shared" si="90"/>
        <v>0</v>
      </c>
      <c r="AD73" s="11">
        <f t="shared" si="90"/>
        <v>436655</v>
      </c>
      <c r="AE73" s="11">
        <f t="shared" si="90"/>
        <v>0</v>
      </c>
      <c r="AF73" s="11">
        <f t="shared" si="90"/>
        <v>5742897</v>
      </c>
      <c r="AG73" s="11">
        <f t="shared" si="90"/>
        <v>0</v>
      </c>
      <c r="AH73" s="11">
        <f t="shared" si="90"/>
        <v>0</v>
      </c>
      <c r="AI73" s="11">
        <f t="shared" si="90"/>
        <v>749629</v>
      </c>
      <c r="AJ73" s="11">
        <f t="shared" si="90"/>
        <v>142219</v>
      </c>
      <c r="AK73" s="11">
        <f t="shared" si="90"/>
        <v>0</v>
      </c>
      <c r="AL73" s="11">
        <f t="shared" si="90"/>
        <v>0</v>
      </c>
      <c r="AM73" s="11">
        <f t="shared" si="90"/>
        <v>34250</v>
      </c>
      <c r="AN73" s="11">
        <f t="shared" si="90"/>
        <v>0</v>
      </c>
      <c r="AO73" s="11">
        <f t="shared" si="90"/>
        <v>88065</v>
      </c>
      <c r="AP73" s="11">
        <f t="shared" si="90"/>
        <v>13386</v>
      </c>
      <c r="AQ73" s="11">
        <f t="shared" si="90"/>
        <v>0</v>
      </c>
      <c r="AR73" s="11">
        <f t="shared" ref="AR73" si="91">SUM(AR74:AR75)</f>
        <v>0</v>
      </c>
      <c r="AS73" s="11">
        <f t="shared" si="90"/>
        <v>47500</v>
      </c>
      <c r="AT73" s="11">
        <f t="shared" si="90"/>
        <v>0</v>
      </c>
      <c r="AU73" s="11">
        <f t="shared" si="90"/>
        <v>0</v>
      </c>
      <c r="AV73" s="11"/>
      <c r="AW73" s="11"/>
      <c r="AX73" s="11">
        <f t="shared" si="90"/>
        <v>0</v>
      </c>
      <c r="AY73" s="11">
        <f t="shared" si="90"/>
        <v>4350829</v>
      </c>
      <c r="AZ73" s="11">
        <f t="shared" si="90"/>
        <v>0</v>
      </c>
      <c r="BA73" s="11">
        <f t="shared" si="90"/>
        <v>190641</v>
      </c>
      <c r="BB73" s="11">
        <f t="shared" si="90"/>
        <v>126378</v>
      </c>
      <c r="BC73" s="11">
        <f t="shared" si="90"/>
        <v>165000</v>
      </c>
      <c r="BD73" s="11">
        <f t="shared" si="90"/>
        <v>0</v>
      </c>
      <c r="BE73" s="11">
        <f t="shared" si="90"/>
        <v>0</v>
      </c>
      <c r="BF73" s="11">
        <f t="shared" si="90"/>
        <v>0</v>
      </c>
      <c r="BG73" s="11">
        <f t="shared" si="90"/>
        <v>0</v>
      </c>
      <c r="BH73" s="11">
        <f t="shared" si="90"/>
        <v>0</v>
      </c>
      <c r="BI73" s="11">
        <f t="shared" si="90"/>
        <v>0</v>
      </c>
      <c r="BJ73" s="11">
        <f t="shared" si="90"/>
        <v>0</v>
      </c>
      <c r="BK73" s="11">
        <f t="shared" si="90"/>
        <v>0</v>
      </c>
      <c r="BL73" s="11">
        <f t="shared" si="90"/>
        <v>0</v>
      </c>
      <c r="BM73" s="11">
        <f t="shared" si="90"/>
        <v>0</v>
      </c>
      <c r="BN73" s="11">
        <f t="shared" si="90"/>
        <v>165000</v>
      </c>
      <c r="BO73" s="11">
        <f t="shared" si="90"/>
        <v>165000</v>
      </c>
      <c r="BP73" s="11">
        <f t="shared" ref="BP73" si="92">SUM(BP74:BP75)</f>
        <v>0</v>
      </c>
      <c r="BQ73" s="11">
        <f t="shared" si="90"/>
        <v>0</v>
      </c>
      <c r="BR73" s="11">
        <f t="shared" si="90"/>
        <v>0</v>
      </c>
      <c r="BS73" s="11">
        <f t="shared" si="90"/>
        <v>0</v>
      </c>
      <c r="BT73" s="11">
        <f t="shared" si="90"/>
        <v>0</v>
      </c>
      <c r="BU73" s="11">
        <f t="shared" si="90"/>
        <v>0</v>
      </c>
      <c r="BV73" s="11">
        <f t="shared" si="90"/>
        <v>0</v>
      </c>
      <c r="BW73" s="11">
        <f t="shared" si="90"/>
        <v>0</v>
      </c>
      <c r="BX73" s="11">
        <f t="shared" ref="BX73:CX73" si="93">SUM(BX74:BX75)</f>
        <v>0</v>
      </c>
      <c r="BY73" s="11">
        <f t="shared" si="93"/>
        <v>0</v>
      </c>
      <c r="BZ73" s="11">
        <f t="shared" si="93"/>
        <v>0</v>
      </c>
      <c r="CA73" s="11">
        <f t="shared" si="93"/>
        <v>0</v>
      </c>
      <c r="CB73" s="11">
        <f t="shared" si="93"/>
        <v>0</v>
      </c>
      <c r="CC73" s="11">
        <f t="shared" si="93"/>
        <v>860445</v>
      </c>
      <c r="CD73" s="11">
        <f t="shared" si="93"/>
        <v>860445</v>
      </c>
      <c r="CE73" s="11">
        <f t="shared" si="93"/>
        <v>860445</v>
      </c>
      <c r="CF73" s="11">
        <f t="shared" si="93"/>
        <v>0</v>
      </c>
      <c r="CG73" s="11">
        <f t="shared" si="93"/>
        <v>860445</v>
      </c>
      <c r="CH73" s="11">
        <f t="shared" si="93"/>
        <v>0</v>
      </c>
      <c r="CI73" s="11">
        <f t="shared" si="93"/>
        <v>0</v>
      </c>
      <c r="CJ73" s="11">
        <f t="shared" si="93"/>
        <v>0</v>
      </c>
      <c r="CK73" s="11">
        <f t="shared" si="93"/>
        <v>0</v>
      </c>
      <c r="CL73" s="11">
        <f t="shared" si="93"/>
        <v>0</v>
      </c>
      <c r="CM73" s="11">
        <f t="shared" si="93"/>
        <v>0</v>
      </c>
      <c r="CN73" s="11">
        <f t="shared" si="93"/>
        <v>0</v>
      </c>
      <c r="CO73" s="11">
        <f t="shared" si="93"/>
        <v>0</v>
      </c>
      <c r="CP73" s="11"/>
      <c r="CQ73" s="11">
        <f t="shared" si="93"/>
        <v>0</v>
      </c>
      <c r="CR73" s="11">
        <f t="shared" si="93"/>
        <v>0</v>
      </c>
      <c r="CS73" s="11">
        <f t="shared" si="93"/>
        <v>0</v>
      </c>
      <c r="CT73" s="11">
        <f t="shared" si="93"/>
        <v>0</v>
      </c>
      <c r="CU73" s="11">
        <f t="shared" si="93"/>
        <v>0</v>
      </c>
      <c r="CV73" s="11">
        <f t="shared" si="93"/>
        <v>0</v>
      </c>
      <c r="CW73" s="11">
        <f t="shared" si="93"/>
        <v>0</v>
      </c>
      <c r="CX73" s="12">
        <f t="shared" si="93"/>
        <v>0</v>
      </c>
    </row>
    <row r="74" spans="1:102" ht="15.75" x14ac:dyDescent="0.25">
      <c r="A74" s="13"/>
      <c r="B74" s="14" t="s">
        <v>1</v>
      </c>
      <c r="C74" s="14" t="s">
        <v>172</v>
      </c>
      <c r="D74" s="15" t="s">
        <v>173</v>
      </c>
      <c r="E74" s="10">
        <f>SUM(F74+CC74+CU74)</f>
        <v>5857237</v>
      </c>
      <c r="F74" s="11">
        <f>SUM(G74+BC74)</f>
        <v>5782763</v>
      </c>
      <c r="G74" s="11">
        <f>SUM(H74+I74+J74+Q74+T74+U74+V74+AF74+AE74)</f>
        <v>5782763</v>
      </c>
      <c r="H74" s="16">
        <f>4281945+228370+113541</f>
        <v>4623856</v>
      </c>
      <c r="I74" s="16">
        <f>107049+57093</f>
        <v>164142</v>
      </c>
      <c r="J74" s="11">
        <f>SUM(K74:P74)</f>
        <v>291963</v>
      </c>
      <c r="K74" s="16"/>
      <c r="L74" s="16">
        <f>119300-51300</f>
        <v>68000</v>
      </c>
      <c r="M74" s="16"/>
      <c r="N74" s="16"/>
      <c r="O74" s="16">
        <v>192630</v>
      </c>
      <c r="P74" s="16">
        <v>31333</v>
      </c>
      <c r="Q74" s="11">
        <f t="shared" si="6"/>
        <v>10077</v>
      </c>
      <c r="R74" s="16">
        <v>10077</v>
      </c>
      <c r="S74" s="16"/>
      <c r="T74" s="11">
        <v>0</v>
      </c>
      <c r="U74" s="11">
        <v>235008</v>
      </c>
      <c r="V74" s="11">
        <f t="shared" ref="V74:V75" si="94">SUM(W74:AD74)</f>
        <v>107207</v>
      </c>
      <c r="W74" s="16"/>
      <c r="X74" s="16">
        <v>59697</v>
      </c>
      <c r="Y74" s="16">
        <v>36385</v>
      </c>
      <c r="Z74" s="16">
        <f>3985+2502</f>
        <v>6487</v>
      </c>
      <c r="AA74" s="16">
        <v>3231</v>
      </c>
      <c r="AB74" s="16"/>
      <c r="AC74" s="16"/>
      <c r="AD74" s="16">
        <v>1407</v>
      </c>
      <c r="AE74" s="11"/>
      <c r="AF74" s="11">
        <f>SUM(AG74:BB74)</f>
        <v>350510</v>
      </c>
      <c r="AG74" s="11">
        <v>0</v>
      </c>
      <c r="AH74" s="11">
        <v>0</v>
      </c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1"/>
      <c r="AX74" s="11">
        <v>0</v>
      </c>
      <c r="AY74" s="16">
        <v>350510</v>
      </c>
      <c r="AZ74" s="16"/>
      <c r="BA74" s="16"/>
      <c r="BB74" s="16"/>
      <c r="BC74" s="11">
        <f>SUM(BD74+BH74+BL74+BN74+BQ74)</f>
        <v>0</v>
      </c>
      <c r="BD74" s="11">
        <f>SUM(BE74:BG74)</f>
        <v>0</v>
      </c>
      <c r="BE74" s="11">
        <v>0</v>
      </c>
      <c r="BF74" s="11">
        <v>0</v>
      </c>
      <c r="BG74" s="11">
        <v>0</v>
      </c>
      <c r="BH74" s="11">
        <f t="shared" si="7"/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11">
        <f t="shared" si="8"/>
        <v>0</v>
      </c>
      <c r="BO74" s="11">
        <v>0</v>
      </c>
      <c r="BP74" s="11">
        <v>0</v>
      </c>
      <c r="BQ74" s="11">
        <f t="shared" si="9"/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v>0</v>
      </c>
      <c r="CC74" s="11">
        <f>SUM(CD74+CT74)</f>
        <v>74474</v>
      </c>
      <c r="CD74" s="11">
        <f>SUM(CE74+CH74+CM74)</f>
        <v>74474</v>
      </c>
      <c r="CE74" s="11">
        <f t="shared" si="10"/>
        <v>74474</v>
      </c>
      <c r="CF74" s="11">
        <v>0</v>
      </c>
      <c r="CG74" s="11">
        <f>0+23174+51300</f>
        <v>74474</v>
      </c>
      <c r="CH74" s="11">
        <f>SUM(CI74:CL74)</f>
        <v>0</v>
      </c>
      <c r="CI74" s="11">
        <v>0</v>
      </c>
      <c r="CJ74" s="11">
        <v>0</v>
      </c>
      <c r="CK74" s="11">
        <v>0</v>
      </c>
      <c r="CL74" s="11">
        <v>0</v>
      </c>
      <c r="CM74" s="11">
        <f>SUM(CN74:CQ74)</f>
        <v>0</v>
      </c>
      <c r="CN74" s="11">
        <v>0</v>
      </c>
      <c r="CO74" s="11">
        <v>0</v>
      </c>
      <c r="CP74" s="11"/>
      <c r="CQ74" s="11">
        <v>0</v>
      </c>
      <c r="CR74" s="11">
        <v>0</v>
      </c>
      <c r="CS74" s="11">
        <v>0</v>
      </c>
      <c r="CT74" s="11">
        <v>0</v>
      </c>
      <c r="CU74" s="11">
        <f t="shared" si="11"/>
        <v>0</v>
      </c>
      <c r="CV74" s="11">
        <f t="shared" si="12"/>
        <v>0</v>
      </c>
      <c r="CW74" s="11">
        <v>0</v>
      </c>
      <c r="CX74" s="12">
        <v>0</v>
      </c>
    </row>
    <row r="75" spans="1:102" ht="15.75" x14ac:dyDescent="0.25">
      <c r="A75" s="13"/>
      <c r="B75" s="14" t="s">
        <v>1</v>
      </c>
      <c r="C75" s="14" t="s">
        <v>174</v>
      </c>
      <c r="D75" s="15" t="s">
        <v>175</v>
      </c>
      <c r="E75" s="10">
        <f>SUM(F75+CC75+CU75)</f>
        <v>99131244</v>
      </c>
      <c r="F75" s="11">
        <f>SUM(G75+BC75)</f>
        <v>98345273</v>
      </c>
      <c r="G75" s="11">
        <f>SUM(H75+I75+J75+Q75+T75+U75+V75+AF75+AE75)</f>
        <v>98180273</v>
      </c>
      <c r="H75" s="16">
        <f>52102135+4834444</f>
        <v>56936579</v>
      </c>
      <c r="I75" s="16">
        <f>1708075+868369</f>
        <v>2576444</v>
      </c>
      <c r="J75" s="11">
        <f>SUM(K75:P75)</f>
        <v>24900557</v>
      </c>
      <c r="K75" s="16">
        <v>401973</v>
      </c>
      <c r="L75" s="16">
        <f>4000006+869780-1916</f>
        <v>4867870</v>
      </c>
      <c r="M75" s="16">
        <f>12419816+4423840</f>
        <v>16843656</v>
      </c>
      <c r="N75" s="16"/>
      <c r="O75" s="16">
        <f>1902462+52233</f>
        <v>1954695</v>
      </c>
      <c r="P75" s="16">
        <v>832363</v>
      </c>
      <c r="Q75" s="11">
        <f t="shared" si="6"/>
        <v>16615</v>
      </c>
      <c r="R75" s="16">
        <v>12949</v>
      </c>
      <c r="S75" s="16">
        <v>3666</v>
      </c>
      <c r="T75" s="11">
        <v>0</v>
      </c>
      <c r="U75" s="11">
        <f>476161+18112-290000</f>
        <v>204273</v>
      </c>
      <c r="V75" s="11">
        <f t="shared" si="94"/>
        <v>8153418</v>
      </c>
      <c r="W75" s="16">
        <f>172697+341435</f>
        <v>514132</v>
      </c>
      <c r="X75" s="16">
        <f>7022+1390</f>
        <v>8412</v>
      </c>
      <c r="Y75" s="16">
        <f>3739478+273389</f>
        <v>4012867</v>
      </c>
      <c r="Z75" s="16">
        <f>2920417+110834</f>
        <v>3031251</v>
      </c>
      <c r="AA75" s="16">
        <f>148766+2742</f>
        <v>151508</v>
      </c>
      <c r="AB75" s="16"/>
      <c r="AC75" s="16"/>
      <c r="AD75" s="16">
        <v>435248</v>
      </c>
      <c r="AE75" s="11"/>
      <c r="AF75" s="11">
        <f>SUM(AG75:BB75)</f>
        <v>5392387</v>
      </c>
      <c r="AG75" s="11">
        <v>0</v>
      </c>
      <c r="AH75" s="11">
        <v>0</v>
      </c>
      <c r="AI75" s="16">
        <f>41071+708558</f>
        <v>749629</v>
      </c>
      <c r="AJ75" s="16">
        <f>138716+3503</f>
        <v>142219</v>
      </c>
      <c r="AK75" s="16"/>
      <c r="AL75" s="16"/>
      <c r="AM75" s="16">
        <v>34250</v>
      </c>
      <c r="AN75" s="16">
        <f>3697-3697</f>
        <v>0</v>
      </c>
      <c r="AO75" s="16">
        <v>88065</v>
      </c>
      <c r="AP75" s="16">
        <v>13386</v>
      </c>
      <c r="AQ75" s="16"/>
      <c r="AR75" s="16"/>
      <c r="AS75" s="16">
        <v>47500</v>
      </c>
      <c r="AT75" s="16"/>
      <c r="AU75" s="16"/>
      <c r="AV75" s="16"/>
      <c r="AW75" s="11"/>
      <c r="AX75" s="11">
        <v>0</v>
      </c>
      <c r="AY75" s="16">
        <v>4000319</v>
      </c>
      <c r="AZ75" s="16"/>
      <c r="BA75" s="16">
        <f>491025-228384-72000</f>
        <v>190641</v>
      </c>
      <c r="BB75" s="16">
        <v>126378</v>
      </c>
      <c r="BC75" s="11">
        <f>SUM(BD75+BH75+BL75+BN75+BQ75)</f>
        <v>165000</v>
      </c>
      <c r="BD75" s="11">
        <f>SUM(BE75:BG75)</f>
        <v>0</v>
      </c>
      <c r="BE75" s="11">
        <v>0</v>
      </c>
      <c r="BF75" s="11">
        <v>0</v>
      </c>
      <c r="BG75" s="11">
        <v>0</v>
      </c>
      <c r="BH75" s="11">
        <f t="shared" si="7"/>
        <v>0</v>
      </c>
      <c r="BI75" s="11">
        <v>0</v>
      </c>
      <c r="BJ75" s="11">
        <v>0</v>
      </c>
      <c r="BK75" s="11">
        <v>0</v>
      </c>
      <c r="BL75" s="11">
        <v>0</v>
      </c>
      <c r="BM75" s="11">
        <v>0</v>
      </c>
      <c r="BN75" s="11">
        <f t="shared" si="8"/>
        <v>165000</v>
      </c>
      <c r="BO75" s="11">
        <f>15000+150000</f>
        <v>165000</v>
      </c>
      <c r="BP75" s="11"/>
      <c r="BQ75" s="11">
        <f t="shared" si="9"/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v>0</v>
      </c>
      <c r="BW75" s="11"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v>0</v>
      </c>
      <c r="CC75" s="11">
        <f>SUM(CD75+CT75)</f>
        <v>785971</v>
      </c>
      <c r="CD75" s="11">
        <f>SUM(CE75+CH75+CM75)</f>
        <v>785971</v>
      </c>
      <c r="CE75" s="11">
        <f t="shared" si="10"/>
        <v>785971</v>
      </c>
      <c r="CF75" s="11">
        <v>0</v>
      </c>
      <c r="CG75" s="11">
        <f>476492+237479+72000</f>
        <v>785971</v>
      </c>
      <c r="CH75" s="11">
        <f>SUM(CI75:CL75)</f>
        <v>0</v>
      </c>
      <c r="CI75" s="11">
        <v>0</v>
      </c>
      <c r="CJ75" s="11">
        <v>0</v>
      </c>
      <c r="CK75" s="11">
        <v>0</v>
      </c>
      <c r="CL75" s="11">
        <v>0</v>
      </c>
      <c r="CM75" s="11">
        <f>SUM(CN75:CQ75)</f>
        <v>0</v>
      </c>
      <c r="CN75" s="11">
        <v>0</v>
      </c>
      <c r="CO75" s="11">
        <v>0</v>
      </c>
      <c r="CP75" s="11"/>
      <c r="CQ75" s="11">
        <v>0</v>
      </c>
      <c r="CR75" s="11">
        <v>0</v>
      </c>
      <c r="CS75" s="11">
        <v>0</v>
      </c>
      <c r="CT75" s="11">
        <v>0</v>
      </c>
      <c r="CU75" s="11">
        <f t="shared" si="11"/>
        <v>0</v>
      </c>
      <c r="CV75" s="11">
        <f t="shared" si="12"/>
        <v>0</v>
      </c>
      <c r="CW75" s="11">
        <v>0</v>
      </c>
      <c r="CX75" s="12">
        <v>0</v>
      </c>
    </row>
    <row r="76" spans="1:102" ht="15.75" x14ac:dyDescent="0.25">
      <c r="A76" s="7"/>
      <c r="B76" s="8" t="s">
        <v>176</v>
      </c>
      <c r="C76" s="8" t="s">
        <v>1</v>
      </c>
      <c r="D76" s="9" t="s">
        <v>177</v>
      </c>
      <c r="E76" s="10">
        <f t="shared" ref="E76:AL76" si="95">SUM(E77)</f>
        <v>106909398</v>
      </c>
      <c r="F76" s="11">
        <f t="shared" si="95"/>
        <v>106225212</v>
      </c>
      <c r="G76" s="11">
        <f t="shared" si="95"/>
        <v>106091812</v>
      </c>
      <c r="H76" s="11">
        <f t="shared" si="95"/>
        <v>77575709</v>
      </c>
      <c r="I76" s="11">
        <f t="shared" si="95"/>
        <v>1988289</v>
      </c>
      <c r="J76" s="11">
        <f t="shared" si="95"/>
        <v>10318039</v>
      </c>
      <c r="K76" s="11">
        <f t="shared" si="95"/>
        <v>184304</v>
      </c>
      <c r="L76" s="11">
        <f t="shared" si="95"/>
        <v>4476740</v>
      </c>
      <c r="M76" s="11">
        <f t="shared" si="95"/>
        <v>552579</v>
      </c>
      <c r="N76" s="11">
        <f t="shared" si="95"/>
        <v>679939</v>
      </c>
      <c r="O76" s="11">
        <f t="shared" si="95"/>
        <v>3984738</v>
      </c>
      <c r="P76" s="11">
        <f t="shared" si="95"/>
        <v>439739</v>
      </c>
      <c r="Q76" s="11">
        <f t="shared" si="95"/>
        <v>4796272</v>
      </c>
      <c r="R76" s="11">
        <f t="shared" si="95"/>
        <v>196272</v>
      </c>
      <c r="S76" s="11">
        <f t="shared" si="95"/>
        <v>4600000</v>
      </c>
      <c r="T76" s="11">
        <f t="shared" si="95"/>
        <v>0</v>
      </c>
      <c r="U76" s="11">
        <f t="shared" si="95"/>
        <v>925522</v>
      </c>
      <c r="V76" s="11">
        <f t="shared" si="95"/>
        <v>1888673</v>
      </c>
      <c r="W76" s="11">
        <f t="shared" si="95"/>
        <v>86904</v>
      </c>
      <c r="X76" s="11">
        <f t="shared" si="95"/>
        <v>561647</v>
      </c>
      <c r="Y76" s="11">
        <f t="shared" si="95"/>
        <v>1062636</v>
      </c>
      <c r="Z76" s="11">
        <f t="shared" si="95"/>
        <v>116216</v>
      </c>
      <c r="AA76" s="11">
        <f t="shared" si="95"/>
        <v>30557</v>
      </c>
      <c r="AB76" s="11">
        <f t="shared" si="95"/>
        <v>0</v>
      </c>
      <c r="AC76" s="11">
        <f t="shared" si="95"/>
        <v>0</v>
      </c>
      <c r="AD76" s="11">
        <f t="shared" si="95"/>
        <v>30713</v>
      </c>
      <c r="AE76" s="11">
        <f t="shared" si="95"/>
        <v>0</v>
      </c>
      <c r="AF76" s="11">
        <f t="shared" si="95"/>
        <v>8599308</v>
      </c>
      <c r="AG76" s="11">
        <f t="shared" si="95"/>
        <v>0</v>
      </c>
      <c r="AH76" s="11">
        <f t="shared" si="95"/>
        <v>0</v>
      </c>
      <c r="AI76" s="11">
        <f t="shared" si="95"/>
        <v>117968</v>
      </c>
      <c r="AJ76" s="11">
        <f t="shared" si="95"/>
        <v>426863</v>
      </c>
      <c r="AK76" s="11">
        <f t="shared" si="95"/>
        <v>0</v>
      </c>
      <c r="AL76" s="11">
        <f t="shared" si="95"/>
        <v>24252</v>
      </c>
      <c r="AM76" s="11">
        <f t="shared" ref="AM76:CX76" si="96">SUM(AM77)</f>
        <v>75220</v>
      </c>
      <c r="AN76" s="11">
        <f t="shared" si="96"/>
        <v>11896</v>
      </c>
      <c r="AO76" s="11">
        <f t="shared" si="96"/>
        <v>90951</v>
      </c>
      <c r="AP76" s="11">
        <f t="shared" si="96"/>
        <v>18042</v>
      </c>
      <c r="AQ76" s="11">
        <f t="shared" si="96"/>
        <v>3802</v>
      </c>
      <c r="AR76" s="11">
        <f t="shared" si="96"/>
        <v>0</v>
      </c>
      <c r="AS76" s="11">
        <f t="shared" si="96"/>
        <v>975599</v>
      </c>
      <c r="AT76" s="11">
        <f t="shared" si="96"/>
        <v>0</v>
      </c>
      <c r="AU76" s="11">
        <f t="shared" si="96"/>
        <v>0</v>
      </c>
      <c r="AV76" s="11"/>
      <c r="AW76" s="11"/>
      <c r="AX76" s="11">
        <f t="shared" si="96"/>
        <v>0</v>
      </c>
      <c r="AY76" s="11">
        <f t="shared" si="96"/>
        <v>6300000</v>
      </c>
      <c r="AZ76" s="11">
        <f t="shared" si="96"/>
        <v>0</v>
      </c>
      <c r="BA76" s="11">
        <f t="shared" si="96"/>
        <v>0</v>
      </c>
      <c r="BB76" s="11">
        <f t="shared" si="96"/>
        <v>554715</v>
      </c>
      <c r="BC76" s="11">
        <f t="shared" si="96"/>
        <v>133400</v>
      </c>
      <c r="BD76" s="11">
        <f t="shared" si="96"/>
        <v>0</v>
      </c>
      <c r="BE76" s="11">
        <f t="shared" si="96"/>
        <v>0</v>
      </c>
      <c r="BF76" s="11">
        <f t="shared" si="96"/>
        <v>0</v>
      </c>
      <c r="BG76" s="11">
        <f t="shared" si="96"/>
        <v>0</v>
      </c>
      <c r="BH76" s="11">
        <f t="shared" si="96"/>
        <v>0</v>
      </c>
      <c r="BI76" s="11">
        <f t="shared" si="96"/>
        <v>0</v>
      </c>
      <c r="BJ76" s="11">
        <f t="shared" si="96"/>
        <v>0</v>
      </c>
      <c r="BK76" s="11">
        <f t="shared" si="96"/>
        <v>0</v>
      </c>
      <c r="BL76" s="11">
        <f t="shared" si="96"/>
        <v>0</v>
      </c>
      <c r="BM76" s="11">
        <f t="shared" si="96"/>
        <v>0</v>
      </c>
      <c r="BN76" s="11">
        <f t="shared" si="96"/>
        <v>133400</v>
      </c>
      <c r="BO76" s="11">
        <f t="shared" si="96"/>
        <v>133400</v>
      </c>
      <c r="BP76" s="11">
        <f t="shared" si="96"/>
        <v>0</v>
      </c>
      <c r="BQ76" s="11">
        <f t="shared" si="96"/>
        <v>0</v>
      </c>
      <c r="BR76" s="11">
        <f t="shared" si="96"/>
        <v>0</v>
      </c>
      <c r="BS76" s="11">
        <f t="shared" si="96"/>
        <v>0</v>
      </c>
      <c r="BT76" s="11">
        <f t="shared" si="96"/>
        <v>0</v>
      </c>
      <c r="BU76" s="11">
        <f t="shared" si="96"/>
        <v>0</v>
      </c>
      <c r="BV76" s="11">
        <f t="shared" si="96"/>
        <v>0</v>
      </c>
      <c r="BW76" s="11">
        <f t="shared" si="96"/>
        <v>0</v>
      </c>
      <c r="BX76" s="11">
        <f t="shared" si="96"/>
        <v>0</v>
      </c>
      <c r="BY76" s="11">
        <f t="shared" si="96"/>
        <v>0</v>
      </c>
      <c r="BZ76" s="11">
        <f t="shared" si="96"/>
        <v>0</v>
      </c>
      <c r="CA76" s="11">
        <f t="shared" si="96"/>
        <v>0</v>
      </c>
      <c r="CB76" s="11">
        <f t="shared" si="96"/>
        <v>0</v>
      </c>
      <c r="CC76" s="11">
        <f t="shared" si="96"/>
        <v>684186</v>
      </c>
      <c r="CD76" s="11">
        <f t="shared" si="96"/>
        <v>684186</v>
      </c>
      <c r="CE76" s="11">
        <f t="shared" si="96"/>
        <v>550845</v>
      </c>
      <c r="CF76" s="11">
        <f t="shared" si="96"/>
        <v>0</v>
      </c>
      <c r="CG76" s="11">
        <f t="shared" si="96"/>
        <v>550845</v>
      </c>
      <c r="CH76" s="11">
        <f t="shared" si="96"/>
        <v>0</v>
      </c>
      <c r="CI76" s="11">
        <f t="shared" si="96"/>
        <v>0</v>
      </c>
      <c r="CJ76" s="11">
        <f t="shared" si="96"/>
        <v>0</v>
      </c>
      <c r="CK76" s="11">
        <f t="shared" si="96"/>
        <v>0</v>
      </c>
      <c r="CL76" s="11">
        <f t="shared" si="96"/>
        <v>0</v>
      </c>
      <c r="CM76" s="11">
        <f t="shared" si="96"/>
        <v>133341</v>
      </c>
      <c r="CN76" s="11">
        <f t="shared" si="96"/>
        <v>0</v>
      </c>
      <c r="CO76" s="11">
        <f t="shared" si="96"/>
        <v>133341</v>
      </c>
      <c r="CP76" s="11"/>
      <c r="CQ76" s="11">
        <f t="shared" si="96"/>
        <v>0</v>
      </c>
      <c r="CR76" s="11">
        <f t="shared" si="96"/>
        <v>0</v>
      </c>
      <c r="CS76" s="11">
        <f t="shared" si="96"/>
        <v>0</v>
      </c>
      <c r="CT76" s="11">
        <f t="shared" si="96"/>
        <v>0</v>
      </c>
      <c r="CU76" s="11">
        <f t="shared" si="96"/>
        <v>0</v>
      </c>
      <c r="CV76" s="11">
        <f t="shared" si="96"/>
        <v>0</v>
      </c>
      <c r="CW76" s="11">
        <f t="shared" si="96"/>
        <v>0</v>
      </c>
      <c r="CX76" s="12">
        <f t="shared" si="96"/>
        <v>0</v>
      </c>
    </row>
    <row r="77" spans="1:102" ht="31.5" x14ac:dyDescent="0.25">
      <c r="A77" s="13"/>
      <c r="B77" s="14" t="s">
        <v>1</v>
      </c>
      <c r="C77" s="14" t="s">
        <v>178</v>
      </c>
      <c r="D77" s="15" t="s">
        <v>179</v>
      </c>
      <c r="E77" s="10">
        <f>SUM(F77+CC77+CU77)</f>
        <v>106909398</v>
      </c>
      <c r="F77" s="11">
        <f>SUM(G77+BC77)</f>
        <v>106225212</v>
      </c>
      <c r="G77" s="11">
        <f>SUM(H77+I77+J77+Q77+T77+U77+V77+AF77+AE77)</f>
        <v>106091812</v>
      </c>
      <c r="H77" s="16">
        <f>73647825+3927884</f>
        <v>77575709</v>
      </c>
      <c r="I77" s="16">
        <f>1006318+981971</f>
        <v>1988289</v>
      </c>
      <c r="J77" s="11">
        <f>SUM(K77:P77)</f>
        <v>10318039</v>
      </c>
      <c r="K77" s="16">
        <v>184304</v>
      </c>
      <c r="L77" s="16">
        <f>2989525+1487215</f>
        <v>4476740</v>
      </c>
      <c r="M77" s="16">
        <f>663579-111000</f>
        <v>552579</v>
      </c>
      <c r="N77" s="16">
        <f>643399+36540</f>
        <v>679939</v>
      </c>
      <c r="O77" s="16">
        <f>3400000+584738</f>
        <v>3984738</v>
      </c>
      <c r="P77" s="16">
        <f>419739+20000</f>
        <v>439739</v>
      </c>
      <c r="Q77" s="11">
        <f t="shared" si="6"/>
        <v>4796272</v>
      </c>
      <c r="R77" s="16">
        <v>196272</v>
      </c>
      <c r="S77" s="16">
        <v>4600000</v>
      </c>
      <c r="T77" s="11">
        <v>0</v>
      </c>
      <c r="U77" s="16">
        <f>982522-57000</f>
        <v>925522</v>
      </c>
      <c r="V77" s="11">
        <f>SUM(W77:AD77)</f>
        <v>1888673</v>
      </c>
      <c r="W77" s="16">
        <v>86904</v>
      </c>
      <c r="X77" s="16">
        <f>550147+11500</f>
        <v>561647</v>
      </c>
      <c r="Y77" s="16">
        <f>978797+83839</f>
        <v>1062636</v>
      </c>
      <c r="Z77" s="16">
        <f>101998+14218</f>
        <v>116216</v>
      </c>
      <c r="AA77" s="16">
        <v>30557</v>
      </c>
      <c r="AB77" s="16"/>
      <c r="AC77" s="16"/>
      <c r="AD77" s="16">
        <f>24883+5830</f>
        <v>30713</v>
      </c>
      <c r="AE77" s="11"/>
      <c r="AF77" s="11">
        <f>SUM(AG77:BB77)</f>
        <v>8599308</v>
      </c>
      <c r="AG77" s="11">
        <v>0</v>
      </c>
      <c r="AH77" s="11"/>
      <c r="AI77" s="16">
        <v>117968</v>
      </c>
      <c r="AJ77" s="16">
        <f>315863+111000</f>
        <v>426863</v>
      </c>
      <c r="AK77" s="16"/>
      <c r="AL77" s="16">
        <v>24252</v>
      </c>
      <c r="AM77" s="16">
        <v>75220</v>
      </c>
      <c r="AN77" s="16">
        <v>11896</v>
      </c>
      <c r="AO77" s="16">
        <v>90951</v>
      </c>
      <c r="AP77" s="16">
        <v>18042</v>
      </c>
      <c r="AQ77" s="16">
        <v>3802</v>
      </c>
      <c r="AR77" s="16"/>
      <c r="AS77" s="16">
        <f>999999-24400</f>
        <v>975599</v>
      </c>
      <c r="AT77" s="16"/>
      <c r="AU77" s="16"/>
      <c r="AV77" s="11"/>
      <c r="AW77" s="11"/>
      <c r="AX77" s="11">
        <v>0</v>
      </c>
      <c r="AY77" s="11">
        <v>6300000</v>
      </c>
      <c r="AZ77" s="11"/>
      <c r="BA77" s="11">
        <v>0</v>
      </c>
      <c r="BB77" s="16">
        <v>554715</v>
      </c>
      <c r="BC77" s="11">
        <f>SUM(BD77+BH77+BL77+BN77+BQ77)</f>
        <v>133400</v>
      </c>
      <c r="BD77" s="11">
        <f>SUM(BE77:BG77)</f>
        <v>0</v>
      </c>
      <c r="BE77" s="11">
        <v>0</v>
      </c>
      <c r="BF77" s="11">
        <v>0</v>
      </c>
      <c r="BG77" s="11">
        <v>0</v>
      </c>
      <c r="BH77" s="11">
        <f t="shared" si="7"/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f t="shared" si="8"/>
        <v>133400</v>
      </c>
      <c r="BO77" s="11">
        <v>133400</v>
      </c>
      <c r="BP77" s="11"/>
      <c r="BQ77" s="11">
        <f t="shared" si="9"/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v>0</v>
      </c>
      <c r="BW77" s="11">
        <v>0</v>
      </c>
      <c r="BX77" s="11">
        <v>0</v>
      </c>
      <c r="BY77" s="11">
        <v>0</v>
      </c>
      <c r="BZ77" s="11">
        <v>0</v>
      </c>
      <c r="CA77" s="11">
        <v>0</v>
      </c>
      <c r="CB77" s="11"/>
      <c r="CC77" s="11">
        <f>SUM(CD77+CT77)</f>
        <v>684186</v>
      </c>
      <c r="CD77" s="11">
        <f>SUM(CE77+CH77+CM77)</f>
        <v>684186</v>
      </c>
      <c r="CE77" s="11">
        <f t="shared" si="10"/>
        <v>550845</v>
      </c>
      <c r="CF77" s="11">
        <v>0</v>
      </c>
      <c r="CG77" s="16">
        <f>513845+37000</f>
        <v>550845</v>
      </c>
      <c r="CH77" s="11">
        <f>SUM(CI77:CL77)</f>
        <v>0</v>
      </c>
      <c r="CI77" s="11">
        <v>0</v>
      </c>
      <c r="CJ77" s="11">
        <v>0</v>
      </c>
      <c r="CK77" s="11">
        <v>0</v>
      </c>
      <c r="CL77" s="11">
        <v>0</v>
      </c>
      <c r="CM77" s="11">
        <f>SUM(CN77:CQ77)</f>
        <v>133341</v>
      </c>
      <c r="CN77" s="11"/>
      <c r="CO77" s="11">
        <v>133341</v>
      </c>
      <c r="CP77" s="11"/>
      <c r="CQ77" s="11">
        <v>0</v>
      </c>
      <c r="CR77" s="11">
        <v>0</v>
      </c>
      <c r="CS77" s="11">
        <v>0</v>
      </c>
      <c r="CT77" s="11">
        <v>0</v>
      </c>
      <c r="CU77" s="11">
        <f t="shared" si="11"/>
        <v>0</v>
      </c>
      <c r="CV77" s="11">
        <f t="shared" si="12"/>
        <v>0</v>
      </c>
      <c r="CW77" s="11">
        <v>0</v>
      </c>
      <c r="CX77" s="12">
        <v>0</v>
      </c>
    </row>
    <row r="78" spans="1:102" ht="15.75" x14ac:dyDescent="0.25">
      <c r="A78" s="7"/>
      <c r="B78" s="8" t="s">
        <v>180</v>
      </c>
      <c r="C78" s="8" t="s">
        <v>1</v>
      </c>
      <c r="D78" s="9" t="s">
        <v>181</v>
      </c>
      <c r="E78" s="10">
        <f t="shared" ref="E78:AL78" si="97">SUM(E79)</f>
        <v>20528932</v>
      </c>
      <c r="F78" s="11">
        <f t="shared" si="97"/>
        <v>19670685</v>
      </c>
      <c r="G78" s="11">
        <f t="shared" si="97"/>
        <v>19663400</v>
      </c>
      <c r="H78" s="11">
        <f t="shared" si="97"/>
        <v>16113565</v>
      </c>
      <c r="I78" s="11">
        <f t="shared" si="97"/>
        <v>790674</v>
      </c>
      <c r="J78" s="11">
        <f t="shared" si="97"/>
        <v>1506147</v>
      </c>
      <c r="K78" s="11">
        <f t="shared" si="97"/>
        <v>0</v>
      </c>
      <c r="L78" s="11">
        <f t="shared" si="97"/>
        <v>636354</v>
      </c>
      <c r="M78" s="11">
        <f t="shared" si="97"/>
        <v>0</v>
      </c>
      <c r="N78" s="11">
        <f t="shared" si="97"/>
        <v>0</v>
      </c>
      <c r="O78" s="11">
        <f t="shared" si="97"/>
        <v>453270</v>
      </c>
      <c r="P78" s="11">
        <f t="shared" si="97"/>
        <v>416523</v>
      </c>
      <c r="Q78" s="11">
        <f t="shared" si="97"/>
        <v>20698</v>
      </c>
      <c r="R78" s="11">
        <f t="shared" si="97"/>
        <v>0</v>
      </c>
      <c r="S78" s="11">
        <f t="shared" si="97"/>
        <v>20698</v>
      </c>
      <c r="T78" s="11">
        <f t="shared" si="97"/>
        <v>0</v>
      </c>
      <c r="U78" s="11">
        <f t="shared" si="97"/>
        <v>258851</v>
      </c>
      <c r="V78" s="11">
        <f t="shared" si="97"/>
        <v>506598</v>
      </c>
      <c r="W78" s="11">
        <f t="shared" si="97"/>
        <v>50452</v>
      </c>
      <c r="X78" s="11">
        <f t="shared" si="97"/>
        <v>295778</v>
      </c>
      <c r="Y78" s="11">
        <f t="shared" si="97"/>
        <v>116890</v>
      </c>
      <c r="Z78" s="11">
        <f t="shared" si="97"/>
        <v>22759</v>
      </c>
      <c r="AA78" s="11">
        <f t="shared" si="97"/>
        <v>20719</v>
      </c>
      <c r="AB78" s="11">
        <f t="shared" si="97"/>
        <v>0</v>
      </c>
      <c r="AC78" s="11">
        <f t="shared" si="97"/>
        <v>0</v>
      </c>
      <c r="AD78" s="11">
        <f t="shared" si="97"/>
        <v>0</v>
      </c>
      <c r="AE78" s="11">
        <f t="shared" si="97"/>
        <v>0</v>
      </c>
      <c r="AF78" s="11">
        <f t="shared" si="97"/>
        <v>466867</v>
      </c>
      <c r="AG78" s="11">
        <f t="shared" si="97"/>
        <v>0</v>
      </c>
      <c r="AH78" s="11">
        <f t="shared" si="97"/>
        <v>0</v>
      </c>
      <c r="AI78" s="11">
        <f t="shared" si="97"/>
        <v>1367</v>
      </c>
      <c r="AJ78" s="11">
        <f t="shared" si="97"/>
        <v>14287</v>
      </c>
      <c r="AK78" s="11">
        <f t="shared" si="97"/>
        <v>0</v>
      </c>
      <c r="AL78" s="11">
        <f t="shared" si="97"/>
        <v>0</v>
      </c>
      <c r="AM78" s="11">
        <f t="shared" ref="AM78:CX78" si="98">SUM(AM79)</f>
        <v>0</v>
      </c>
      <c r="AN78" s="11">
        <f t="shared" si="98"/>
        <v>185</v>
      </c>
      <c r="AO78" s="11">
        <f t="shared" si="98"/>
        <v>0</v>
      </c>
      <c r="AP78" s="11">
        <f t="shared" si="98"/>
        <v>14550</v>
      </c>
      <c r="AQ78" s="11">
        <f t="shared" si="98"/>
        <v>524</v>
      </c>
      <c r="AR78" s="11">
        <f t="shared" si="98"/>
        <v>0</v>
      </c>
      <c r="AS78" s="11">
        <f t="shared" si="98"/>
        <v>0</v>
      </c>
      <c r="AT78" s="11">
        <f t="shared" si="98"/>
        <v>320284</v>
      </c>
      <c r="AU78" s="11">
        <f t="shared" si="98"/>
        <v>18000</v>
      </c>
      <c r="AV78" s="11"/>
      <c r="AW78" s="11"/>
      <c r="AX78" s="11">
        <f t="shared" si="98"/>
        <v>0</v>
      </c>
      <c r="AY78" s="11">
        <f t="shared" si="98"/>
        <v>38982</v>
      </c>
      <c r="AZ78" s="11">
        <f t="shared" si="98"/>
        <v>1034</v>
      </c>
      <c r="BA78" s="11">
        <f t="shared" si="98"/>
        <v>28066</v>
      </c>
      <c r="BB78" s="11">
        <f t="shared" si="98"/>
        <v>29588</v>
      </c>
      <c r="BC78" s="11">
        <f t="shared" si="98"/>
        <v>7285</v>
      </c>
      <c r="BD78" s="11">
        <f t="shared" si="98"/>
        <v>0</v>
      </c>
      <c r="BE78" s="11">
        <f t="shared" si="98"/>
        <v>0</v>
      </c>
      <c r="BF78" s="11">
        <f t="shared" si="98"/>
        <v>0</v>
      </c>
      <c r="BG78" s="11">
        <f t="shared" si="98"/>
        <v>0</v>
      </c>
      <c r="BH78" s="11">
        <f t="shared" si="98"/>
        <v>0</v>
      </c>
      <c r="BI78" s="11">
        <f t="shared" si="98"/>
        <v>0</v>
      </c>
      <c r="BJ78" s="11">
        <f t="shared" si="98"/>
        <v>0</v>
      </c>
      <c r="BK78" s="11">
        <f t="shared" si="98"/>
        <v>0</v>
      </c>
      <c r="BL78" s="11">
        <f t="shared" si="98"/>
        <v>0</v>
      </c>
      <c r="BM78" s="11">
        <f t="shared" si="98"/>
        <v>0</v>
      </c>
      <c r="BN78" s="11">
        <f t="shared" si="98"/>
        <v>0</v>
      </c>
      <c r="BO78" s="11">
        <f t="shared" si="98"/>
        <v>0</v>
      </c>
      <c r="BP78" s="11">
        <f t="shared" si="98"/>
        <v>0</v>
      </c>
      <c r="BQ78" s="11">
        <f t="shared" si="98"/>
        <v>7285</v>
      </c>
      <c r="BR78" s="11">
        <f t="shared" si="98"/>
        <v>0</v>
      </c>
      <c r="BS78" s="11">
        <f t="shared" si="98"/>
        <v>0</v>
      </c>
      <c r="BT78" s="11">
        <f t="shared" si="98"/>
        <v>0</v>
      </c>
      <c r="BU78" s="11">
        <f t="shared" si="98"/>
        <v>0</v>
      </c>
      <c r="BV78" s="11">
        <f t="shared" si="98"/>
        <v>0</v>
      </c>
      <c r="BW78" s="11">
        <f t="shared" si="98"/>
        <v>0</v>
      </c>
      <c r="BX78" s="11">
        <f t="shared" si="98"/>
        <v>0</v>
      </c>
      <c r="BY78" s="11">
        <f t="shared" si="98"/>
        <v>0</v>
      </c>
      <c r="BZ78" s="11">
        <f t="shared" si="98"/>
        <v>0</v>
      </c>
      <c r="CA78" s="11">
        <f t="shared" si="98"/>
        <v>7285</v>
      </c>
      <c r="CB78" s="11">
        <f t="shared" si="98"/>
        <v>0</v>
      </c>
      <c r="CC78" s="11">
        <f t="shared" si="98"/>
        <v>858247</v>
      </c>
      <c r="CD78" s="11">
        <f t="shared" si="98"/>
        <v>858247</v>
      </c>
      <c r="CE78" s="11">
        <f t="shared" si="98"/>
        <v>158672</v>
      </c>
      <c r="CF78" s="11">
        <f t="shared" si="98"/>
        <v>0</v>
      </c>
      <c r="CG78" s="11">
        <f t="shared" si="98"/>
        <v>158672</v>
      </c>
      <c r="CH78" s="11">
        <f t="shared" si="98"/>
        <v>0</v>
      </c>
      <c r="CI78" s="11">
        <f t="shared" si="98"/>
        <v>0</v>
      </c>
      <c r="CJ78" s="11">
        <f t="shared" si="98"/>
        <v>0</v>
      </c>
      <c r="CK78" s="11">
        <f t="shared" si="98"/>
        <v>0</v>
      </c>
      <c r="CL78" s="11">
        <f t="shared" si="98"/>
        <v>0</v>
      </c>
      <c r="CM78" s="11">
        <f t="shared" si="98"/>
        <v>699575</v>
      </c>
      <c r="CN78" s="11">
        <f t="shared" si="98"/>
        <v>0</v>
      </c>
      <c r="CO78" s="11">
        <f t="shared" si="98"/>
        <v>699575</v>
      </c>
      <c r="CP78" s="11"/>
      <c r="CQ78" s="11">
        <f t="shared" si="98"/>
        <v>0</v>
      </c>
      <c r="CR78" s="11">
        <f t="shared" si="98"/>
        <v>0</v>
      </c>
      <c r="CS78" s="11">
        <f t="shared" si="98"/>
        <v>0</v>
      </c>
      <c r="CT78" s="11">
        <f t="shared" si="98"/>
        <v>0</v>
      </c>
      <c r="CU78" s="11">
        <f t="shared" si="98"/>
        <v>0</v>
      </c>
      <c r="CV78" s="11">
        <f t="shared" si="98"/>
        <v>0</v>
      </c>
      <c r="CW78" s="11">
        <f t="shared" si="98"/>
        <v>0</v>
      </c>
      <c r="CX78" s="12">
        <f t="shared" si="98"/>
        <v>0</v>
      </c>
    </row>
    <row r="79" spans="1:102" ht="15.75" x14ac:dyDescent="0.25">
      <c r="A79" s="13"/>
      <c r="B79" s="14" t="s">
        <v>1</v>
      </c>
      <c r="C79" s="14" t="s">
        <v>182</v>
      </c>
      <c r="D79" s="15" t="s">
        <v>183</v>
      </c>
      <c r="E79" s="10">
        <f>SUM(F79+CC79+CU79)</f>
        <v>20528932</v>
      </c>
      <c r="F79" s="11">
        <f>SUM(G79+BC79)</f>
        <v>19670685</v>
      </c>
      <c r="G79" s="11">
        <f>SUM(H79+I79+J79+Q79+T79+U79+V79+AF79+AE79)</f>
        <v>19663400</v>
      </c>
      <c r="H79" s="16">
        <f>15297688+815877</f>
        <v>16113565</v>
      </c>
      <c r="I79" s="16">
        <f>586705+203969</f>
        <v>790674</v>
      </c>
      <c r="J79" s="11">
        <f>SUM(K79:P79)</f>
        <v>1506147</v>
      </c>
      <c r="K79" s="11">
        <v>0</v>
      </c>
      <c r="L79" s="16">
        <v>636354</v>
      </c>
      <c r="M79" s="16"/>
      <c r="N79" s="16"/>
      <c r="O79" s="16">
        <f>438270+15000</f>
        <v>453270</v>
      </c>
      <c r="P79" s="16">
        <f>393256+23267</f>
        <v>416523</v>
      </c>
      <c r="Q79" s="11">
        <f t="shared" ref="Q79:Q149" si="99">SUM(R79:S79)</f>
        <v>20698</v>
      </c>
      <c r="R79" s="16"/>
      <c r="S79" s="16">
        <v>20698</v>
      </c>
      <c r="T79" s="16"/>
      <c r="U79" s="16">
        <v>258851</v>
      </c>
      <c r="V79" s="11">
        <f>SUM(W79:AD79)</f>
        <v>506598</v>
      </c>
      <c r="W79" s="16">
        <v>50452</v>
      </c>
      <c r="X79" s="16">
        <f>274806+20972</f>
        <v>295778</v>
      </c>
      <c r="Y79" s="16">
        <v>116890</v>
      </c>
      <c r="Z79" s="16">
        <f>21435+1324</f>
        <v>22759</v>
      </c>
      <c r="AA79" s="16">
        <v>20719</v>
      </c>
      <c r="AB79" s="16"/>
      <c r="AC79" s="16"/>
      <c r="AD79" s="16"/>
      <c r="AE79" s="11">
        <v>0</v>
      </c>
      <c r="AF79" s="11">
        <f>SUM(AG79:BB79)</f>
        <v>466867</v>
      </c>
      <c r="AG79" s="11">
        <v>0</v>
      </c>
      <c r="AH79" s="11"/>
      <c r="AI79" s="16">
        <f>2691-1324</f>
        <v>1367</v>
      </c>
      <c r="AJ79" s="16">
        <f>4308+9979</f>
        <v>14287</v>
      </c>
      <c r="AK79" s="16"/>
      <c r="AL79" s="16"/>
      <c r="AM79" s="16"/>
      <c r="AN79" s="16">
        <v>185</v>
      </c>
      <c r="AO79" s="16"/>
      <c r="AP79" s="16">
        <v>14550</v>
      </c>
      <c r="AQ79" s="16">
        <v>524</v>
      </c>
      <c r="AR79" s="16">
        <v>0</v>
      </c>
      <c r="AS79" s="16">
        <v>0</v>
      </c>
      <c r="AT79" s="16">
        <f>364388-44104</f>
        <v>320284</v>
      </c>
      <c r="AU79" s="16">
        <v>18000</v>
      </c>
      <c r="AV79" s="16"/>
      <c r="AW79" s="16"/>
      <c r="AX79" s="16"/>
      <c r="AY79" s="16">
        <v>38982</v>
      </c>
      <c r="AZ79" s="16">
        <v>1034</v>
      </c>
      <c r="BA79" s="16">
        <f>40260-8052-4142</f>
        <v>28066</v>
      </c>
      <c r="BB79" s="16">
        <f>21536+8052</f>
        <v>29588</v>
      </c>
      <c r="BC79" s="11">
        <f>SUM(BD79+BH79+BL79+BN79+BQ79)</f>
        <v>7285</v>
      </c>
      <c r="BD79" s="11">
        <f>SUM(BE79:BG79)</f>
        <v>0</v>
      </c>
      <c r="BE79" s="11">
        <v>0</v>
      </c>
      <c r="BF79" s="11">
        <v>0</v>
      </c>
      <c r="BG79" s="11">
        <v>0</v>
      </c>
      <c r="BH79" s="11">
        <f t="shared" ref="BH79:BH149" si="100">SUM(BJ79:BK79)</f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f t="shared" ref="BN79:BN149" si="101">SUM(BO79)</f>
        <v>0</v>
      </c>
      <c r="BO79" s="11">
        <v>0</v>
      </c>
      <c r="BP79" s="11">
        <v>0</v>
      </c>
      <c r="BQ79" s="11">
        <f t="shared" ref="BQ79:BQ149" si="102">SUM(BR79:CB79)</f>
        <v>7285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7285</v>
      </c>
      <c r="CB79" s="11">
        <v>0</v>
      </c>
      <c r="CC79" s="11">
        <f>SUM(CD79+CT79)</f>
        <v>858247</v>
      </c>
      <c r="CD79" s="11">
        <f>SUM(CE79+CH79+CM79)</f>
        <v>858247</v>
      </c>
      <c r="CE79" s="11">
        <f t="shared" ref="CE79:CE149" si="103">SUM(CF79:CG79)</f>
        <v>158672</v>
      </c>
      <c r="CF79" s="11">
        <v>0</v>
      </c>
      <c r="CG79" s="16">
        <v>158672</v>
      </c>
      <c r="CH79" s="11">
        <f>SUM(CI79:CL79)</f>
        <v>0</v>
      </c>
      <c r="CI79" s="11">
        <v>0</v>
      </c>
      <c r="CJ79" s="11">
        <v>0</v>
      </c>
      <c r="CK79" s="11">
        <v>0</v>
      </c>
      <c r="CL79" s="11">
        <v>0</v>
      </c>
      <c r="CM79" s="11">
        <f>SUM(CN79:CQ79)</f>
        <v>699575</v>
      </c>
      <c r="CN79" s="16"/>
      <c r="CO79" s="11">
        <v>699575</v>
      </c>
      <c r="CP79" s="11"/>
      <c r="CQ79" s="11">
        <v>0</v>
      </c>
      <c r="CR79" s="11"/>
      <c r="CS79" s="11"/>
      <c r="CT79" s="11">
        <v>0</v>
      </c>
      <c r="CU79" s="11">
        <f t="shared" ref="CU79:CU149" si="104">SUM(CV79)</f>
        <v>0</v>
      </c>
      <c r="CV79" s="11">
        <f t="shared" ref="CV79:CV149" si="105">SUM(CW79:CX79)</f>
        <v>0</v>
      </c>
      <c r="CW79" s="11">
        <v>0</v>
      </c>
      <c r="CX79" s="12">
        <v>0</v>
      </c>
    </row>
    <row r="80" spans="1:102" ht="31.5" x14ac:dyDescent="0.25">
      <c r="A80" s="7"/>
      <c r="B80" s="8" t="s">
        <v>621</v>
      </c>
      <c r="C80" s="8" t="s">
        <v>1</v>
      </c>
      <c r="D80" s="9" t="s">
        <v>184</v>
      </c>
      <c r="E80" s="10">
        <f t="shared" ref="E80:AL80" si="106">SUM(E81)</f>
        <v>28444694</v>
      </c>
      <c r="F80" s="11">
        <f t="shared" si="106"/>
        <v>27181806</v>
      </c>
      <c r="G80" s="11">
        <f t="shared" si="106"/>
        <v>27172047</v>
      </c>
      <c r="H80" s="11">
        <f t="shared" si="106"/>
        <v>22076432</v>
      </c>
      <c r="I80" s="11">
        <f t="shared" si="106"/>
        <v>1419913</v>
      </c>
      <c r="J80" s="11">
        <f t="shared" si="106"/>
        <v>1872274</v>
      </c>
      <c r="K80" s="11">
        <f t="shared" si="106"/>
        <v>0</v>
      </c>
      <c r="L80" s="11">
        <f t="shared" si="106"/>
        <v>608859</v>
      </c>
      <c r="M80" s="11">
        <f t="shared" si="106"/>
        <v>0</v>
      </c>
      <c r="N80" s="11">
        <f t="shared" si="106"/>
        <v>0</v>
      </c>
      <c r="O80" s="11">
        <f t="shared" si="106"/>
        <v>686423</v>
      </c>
      <c r="P80" s="11">
        <f t="shared" si="106"/>
        <v>576992</v>
      </c>
      <c r="Q80" s="11">
        <f t="shared" si="106"/>
        <v>1722</v>
      </c>
      <c r="R80" s="11">
        <f t="shared" si="106"/>
        <v>1722</v>
      </c>
      <c r="S80" s="11">
        <f t="shared" si="106"/>
        <v>0</v>
      </c>
      <c r="T80" s="11">
        <f t="shared" si="106"/>
        <v>0</v>
      </c>
      <c r="U80" s="11">
        <f t="shared" si="106"/>
        <v>200924</v>
      </c>
      <c r="V80" s="11">
        <f t="shared" si="106"/>
        <v>536665</v>
      </c>
      <c r="W80" s="11">
        <f t="shared" si="106"/>
        <v>141328</v>
      </c>
      <c r="X80" s="11">
        <f t="shared" si="106"/>
        <v>51177</v>
      </c>
      <c r="Y80" s="11">
        <f t="shared" si="106"/>
        <v>102319</v>
      </c>
      <c r="Z80" s="11">
        <f t="shared" si="106"/>
        <v>18073</v>
      </c>
      <c r="AA80" s="11">
        <f t="shared" si="106"/>
        <v>22873</v>
      </c>
      <c r="AB80" s="11">
        <f t="shared" si="106"/>
        <v>176530</v>
      </c>
      <c r="AC80" s="11">
        <f t="shared" si="106"/>
        <v>0</v>
      </c>
      <c r="AD80" s="11">
        <f t="shared" si="106"/>
        <v>24365</v>
      </c>
      <c r="AE80" s="11">
        <f t="shared" si="106"/>
        <v>0</v>
      </c>
      <c r="AF80" s="11">
        <f t="shared" si="106"/>
        <v>1064117</v>
      </c>
      <c r="AG80" s="11">
        <f t="shared" si="106"/>
        <v>0</v>
      </c>
      <c r="AH80" s="11">
        <f t="shared" si="106"/>
        <v>0</v>
      </c>
      <c r="AI80" s="11">
        <f t="shared" si="106"/>
        <v>27058</v>
      </c>
      <c r="AJ80" s="11">
        <f t="shared" si="106"/>
        <v>452500</v>
      </c>
      <c r="AK80" s="11">
        <f t="shared" si="106"/>
        <v>0</v>
      </c>
      <c r="AL80" s="11">
        <f t="shared" si="106"/>
        <v>0</v>
      </c>
      <c r="AM80" s="11">
        <f t="shared" ref="AM80:CX80" si="107">SUM(AM81)</f>
        <v>0</v>
      </c>
      <c r="AN80" s="11">
        <f t="shared" si="107"/>
        <v>349</v>
      </c>
      <c r="AO80" s="11">
        <f t="shared" si="107"/>
        <v>42450</v>
      </c>
      <c r="AP80" s="11">
        <f t="shared" si="107"/>
        <v>18042</v>
      </c>
      <c r="AQ80" s="11">
        <f t="shared" si="107"/>
        <v>2140</v>
      </c>
      <c r="AR80" s="11">
        <f t="shared" si="107"/>
        <v>0</v>
      </c>
      <c r="AS80" s="11">
        <f t="shared" si="107"/>
        <v>0</v>
      </c>
      <c r="AT80" s="11">
        <f t="shared" si="107"/>
        <v>448837</v>
      </c>
      <c r="AU80" s="11">
        <f t="shared" si="107"/>
        <v>0</v>
      </c>
      <c r="AV80" s="11"/>
      <c r="AW80" s="11"/>
      <c r="AX80" s="11">
        <f t="shared" si="107"/>
        <v>0</v>
      </c>
      <c r="AY80" s="11">
        <f t="shared" si="107"/>
        <v>0</v>
      </c>
      <c r="AZ80" s="11">
        <f t="shared" si="107"/>
        <v>0</v>
      </c>
      <c r="BA80" s="11">
        <f t="shared" si="107"/>
        <v>0</v>
      </c>
      <c r="BB80" s="11">
        <f t="shared" si="107"/>
        <v>72741</v>
      </c>
      <c r="BC80" s="11">
        <f t="shared" si="107"/>
        <v>9759</v>
      </c>
      <c r="BD80" s="11">
        <f t="shared" si="107"/>
        <v>0</v>
      </c>
      <c r="BE80" s="11">
        <f t="shared" si="107"/>
        <v>0</v>
      </c>
      <c r="BF80" s="11">
        <f t="shared" si="107"/>
        <v>0</v>
      </c>
      <c r="BG80" s="11">
        <f t="shared" si="107"/>
        <v>0</v>
      </c>
      <c r="BH80" s="11">
        <f t="shared" si="107"/>
        <v>0</v>
      </c>
      <c r="BI80" s="11">
        <f t="shared" si="107"/>
        <v>0</v>
      </c>
      <c r="BJ80" s="11">
        <f t="shared" si="107"/>
        <v>0</v>
      </c>
      <c r="BK80" s="11">
        <f t="shared" si="107"/>
        <v>0</v>
      </c>
      <c r="BL80" s="11">
        <f t="shared" si="107"/>
        <v>0</v>
      </c>
      <c r="BM80" s="11">
        <f t="shared" si="107"/>
        <v>0</v>
      </c>
      <c r="BN80" s="11">
        <f t="shared" si="107"/>
        <v>0</v>
      </c>
      <c r="BO80" s="11">
        <f t="shared" si="107"/>
        <v>0</v>
      </c>
      <c r="BP80" s="11">
        <f t="shared" si="107"/>
        <v>0</v>
      </c>
      <c r="BQ80" s="11">
        <f t="shared" si="107"/>
        <v>9759</v>
      </c>
      <c r="BR80" s="11">
        <f t="shared" si="107"/>
        <v>0</v>
      </c>
      <c r="BS80" s="11">
        <f t="shared" si="107"/>
        <v>0</v>
      </c>
      <c r="BT80" s="11">
        <f t="shared" si="107"/>
        <v>0</v>
      </c>
      <c r="BU80" s="11">
        <f t="shared" si="107"/>
        <v>0</v>
      </c>
      <c r="BV80" s="11">
        <f t="shared" si="107"/>
        <v>0</v>
      </c>
      <c r="BW80" s="11">
        <f t="shared" si="107"/>
        <v>0</v>
      </c>
      <c r="BX80" s="11">
        <f t="shared" si="107"/>
        <v>0</v>
      </c>
      <c r="BY80" s="11">
        <f t="shared" si="107"/>
        <v>0</v>
      </c>
      <c r="BZ80" s="11">
        <f t="shared" si="107"/>
        <v>0</v>
      </c>
      <c r="CA80" s="11">
        <f t="shared" si="107"/>
        <v>9759</v>
      </c>
      <c r="CB80" s="11">
        <f t="shared" si="107"/>
        <v>0</v>
      </c>
      <c r="CC80" s="11">
        <f t="shared" si="107"/>
        <v>1262888</v>
      </c>
      <c r="CD80" s="11">
        <f t="shared" si="107"/>
        <v>1262888</v>
      </c>
      <c r="CE80" s="11">
        <f t="shared" si="107"/>
        <v>790531</v>
      </c>
      <c r="CF80" s="11">
        <f t="shared" si="107"/>
        <v>0</v>
      </c>
      <c r="CG80" s="11">
        <f t="shared" si="107"/>
        <v>790531</v>
      </c>
      <c r="CH80" s="11">
        <f t="shared" si="107"/>
        <v>276337</v>
      </c>
      <c r="CI80" s="11">
        <f t="shared" si="107"/>
        <v>0</v>
      </c>
      <c r="CJ80" s="11">
        <f t="shared" si="107"/>
        <v>0</v>
      </c>
      <c r="CK80" s="11">
        <f t="shared" si="107"/>
        <v>276337</v>
      </c>
      <c r="CL80" s="11">
        <f t="shared" si="107"/>
        <v>0</v>
      </c>
      <c r="CM80" s="11">
        <f t="shared" si="107"/>
        <v>196020</v>
      </c>
      <c r="CN80" s="11">
        <f t="shared" si="107"/>
        <v>0</v>
      </c>
      <c r="CO80" s="11">
        <f t="shared" si="107"/>
        <v>196020</v>
      </c>
      <c r="CP80" s="11"/>
      <c r="CQ80" s="11">
        <f t="shared" si="107"/>
        <v>0</v>
      </c>
      <c r="CR80" s="11">
        <f>SUM(CR81)</f>
        <v>0</v>
      </c>
      <c r="CS80" s="11">
        <f>SUM(CS81)</f>
        <v>0</v>
      </c>
      <c r="CT80" s="11">
        <f t="shared" si="107"/>
        <v>0</v>
      </c>
      <c r="CU80" s="11">
        <f t="shared" si="107"/>
        <v>0</v>
      </c>
      <c r="CV80" s="11">
        <f t="shared" si="107"/>
        <v>0</v>
      </c>
      <c r="CW80" s="11">
        <f t="shared" si="107"/>
        <v>0</v>
      </c>
      <c r="CX80" s="12">
        <f t="shared" si="107"/>
        <v>0</v>
      </c>
    </row>
    <row r="81" spans="1:102" ht="15.75" x14ac:dyDescent="0.25">
      <c r="A81" s="13"/>
      <c r="B81" s="14" t="s">
        <v>1</v>
      </c>
      <c r="C81" s="14" t="s">
        <v>185</v>
      </c>
      <c r="D81" s="15" t="s">
        <v>186</v>
      </c>
      <c r="E81" s="10">
        <f>SUM(F81+CC81+CU81)</f>
        <v>28444694</v>
      </c>
      <c r="F81" s="11">
        <f>SUM(G81+BC81)</f>
        <v>27181806</v>
      </c>
      <c r="G81" s="11">
        <f>SUM(H81+I81+J81+Q81+T81+U81+V81+AF81+AE81)</f>
        <v>27172047</v>
      </c>
      <c r="H81" s="16">
        <f>21000000+1076432</f>
        <v>22076432</v>
      </c>
      <c r="I81" s="16">
        <f>1150805+269108</f>
        <v>1419913</v>
      </c>
      <c r="J81" s="11">
        <f>SUM(K81:P81)</f>
        <v>1872274</v>
      </c>
      <c r="K81" s="11">
        <v>0</v>
      </c>
      <c r="L81" s="16">
        <v>608859</v>
      </c>
      <c r="M81" s="16"/>
      <c r="N81" s="16"/>
      <c r="O81" s="16">
        <v>686423</v>
      </c>
      <c r="P81" s="16">
        <v>576992</v>
      </c>
      <c r="Q81" s="11">
        <f t="shared" si="99"/>
        <v>1722</v>
      </c>
      <c r="R81" s="16">
        <v>1722</v>
      </c>
      <c r="S81" s="11">
        <v>0</v>
      </c>
      <c r="T81" s="11">
        <v>0</v>
      </c>
      <c r="U81" s="11">
        <v>200924</v>
      </c>
      <c r="V81" s="11">
        <f>SUM(W81:AD81)</f>
        <v>536665</v>
      </c>
      <c r="W81" s="16">
        <v>141328</v>
      </c>
      <c r="X81" s="16">
        <f>44867+6310</f>
        <v>51177</v>
      </c>
      <c r="Y81" s="16">
        <f>90962+11357</f>
        <v>102319</v>
      </c>
      <c r="Z81" s="16">
        <f>13743+4330</f>
        <v>18073</v>
      </c>
      <c r="AA81" s="16">
        <v>22873</v>
      </c>
      <c r="AB81" s="16">
        <v>176530</v>
      </c>
      <c r="AC81" s="16"/>
      <c r="AD81" s="16">
        <f>20902+3463</f>
        <v>24365</v>
      </c>
      <c r="AE81" s="11"/>
      <c r="AF81" s="11">
        <f>SUM(AG81:BB81)</f>
        <v>1064117</v>
      </c>
      <c r="AG81" s="11">
        <v>0</v>
      </c>
      <c r="AH81" s="11"/>
      <c r="AI81" s="16">
        <v>27058</v>
      </c>
      <c r="AJ81" s="16">
        <v>452500</v>
      </c>
      <c r="AK81" s="16"/>
      <c r="AL81" s="16"/>
      <c r="AM81" s="16"/>
      <c r="AN81" s="16">
        <v>349</v>
      </c>
      <c r="AO81" s="16">
        <v>42450</v>
      </c>
      <c r="AP81" s="16">
        <v>18042</v>
      </c>
      <c r="AQ81" s="16">
        <v>2140</v>
      </c>
      <c r="AR81" s="16">
        <v>0</v>
      </c>
      <c r="AS81" s="16">
        <v>0</v>
      </c>
      <c r="AT81" s="16">
        <v>448837</v>
      </c>
      <c r="AU81" s="16"/>
      <c r="AV81" s="16"/>
      <c r="AW81" s="16"/>
      <c r="AX81" s="11">
        <v>0</v>
      </c>
      <c r="AY81" s="11">
        <v>0</v>
      </c>
      <c r="AZ81" s="11">
        <v>0</v>
      </c>
      <c r="BA81" s="11"/>
      <c r="BB81" s="11">
        <v>72741</v>
      </c>
      <c r="BC81" s="11">
        <f>SUM(BD81+BH81+BL81+BN81+BQ81)</f>
        <v>9759</v>
      </c>
      <c r="BD81" s="11">
        <f>SUM(BE81:BG81)</f>
        <v>0</v>
      </c>
      <c r="BE81" s="11">
        <v>0</v>
      </c>
      <c r="BF81" s="11">
        <v>0</v>
      </c>
      <c r="BG81" s="11">
        <v>0</v>
      </c>
      <c r="BH81" s="11">
        <f t="shared" si="100"/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v>0</v>
      </c>
      <c r="BN81" s="11">
        <f t="shared" si="101"/>
        <v>0</v>
      </c>
      <c r="BO81" s="11">
        <v>0</v>
      </c>
      <c r="BP81" s="11">
        <v>0</v>
      </c>
      <c r="BQ81" s="11">
        <f t="shared" si="102"/>
        <v>9759</v>
      </c>
      <c r="BR81" s="11">
        <v>0</v>
      </c>
      <c r="BS81" s="11">
        <v>0</v>
      </c>
      <c r="BT81" s="11">
        <v>0</v>
      </c>
      <c r="BU81" s="11">
        <v>0</v>
      </c>
      <c r="BV81" s="11">
        <v>0</v>
      </c>
      <c r="BW81" s="11">
        <v>0</v>
      </c>
      <c r="BX81" s="11">
        <v>0</v>
      </c>
      <c r="BY81" s="11">
        <v>0</v>
      </c>
      <c r="BZ81" s="11">
        <v>0</v>
      </c>
      <c r="CA81" s="11">
        <v>9759</v>
      </c>
      <c r="CB81" s="11">
        <v>0</v>
      </c>
      <c r="CC81" s="11">
        <f>SUM(CD81+CT81)</f>
        <v>1262888</v>
      </c>
      <c r="CD81" s="11">
        <f>SUM(CE81+CH81+CM81)</f>
        <v>1262888</v>
      </c>
      <c r="CE81" s="11">
        <f t="shared" si="103"/>
        <v>790531</v>
      </c>
      <c r="CF81" s="11">
        <v>0</v>
      </c>
      <c r="CG81" s="11">
        <f>1390531-600000</f>
        <v>790531</v>
      </c>
      <c r="CH81" s="11">
        <f>SUM(CI81:CL81)</f>
        <v>276337</v>
      </c>
      <c r="CI81" s="11">
        <v>0</v>
      </c>
      <c r="CJ81" s="11">
        <v>0</v>
      </c>
      <c r="CK81" s="11">
        <v>276337</v>
      </c>
      <c r="CL81" s="11"/>
      <c r="CM81" s="11">
        <f>SUM(CN81:CQ81)</f>
        <v>196020</v>
      </c>
      <c r="CN81" s="11"/>
      <c r="CO81" s="11">
        <v>196020</v>
      </c>
      <c r="CP81" s="11"/>
      <c r="CQ81" s="11">
        <v>0</v>
      </c>
      <c r="CR81" s="11"/>
      <c r="CS81" s="11"/>
      <c r="CT81" s="11">
        <v>0</v>
      </c>
      <c r="CU81" s="11">
        <f t="shared" si="104"/>
        <v>0</v>
      </c>
      <c r="CV81" s="11">
        <f t="shared" si="105"/>
        <v>0</v>
      </c>
      <c r="CW81" s="11">
        <v>0</v>
      </c>
      <c r="CX81" s="12">
        <v>0</v>
      </c>
    </row>
    <row r="82" spans="1:102" ht="15.75" x14ac:dyDescent="0.25">
      <c r="A82" s="7"/>
      <c r="B82" s="8" t="s">
        <v>187</v>
      </c>
      <c r="C82" s="8" t="s">
        <v>1</v>
      </c>
      <c r="D82" s="9" t="s">
        <v>188</v>
      </c>
      <c r="E82" s="10">
        <f t="shared" ref="E82:AL84" si="108">SUM(E83)</f>
        <v>7049877</v>
      </c>
      <c r="F82" s="11">
        <f t="shared" si="108"/>
        <v>6827275</v>
      </c>
      <c r="G82" s="11">
        <f t="shared" si="108"/>
        <v>6820757</v>
      </c>
      <c r="H82" s="11">
        <f t="shared" si="108"/>
        <v>5048429</v>
      </c>
      <c r="I82" s="11">
        <f t="shared" si="108"/>
        <v>1024536</v>
      </c>
      <c r="J82" s="11">
        <f t="shared" si="108"/>
        <v>337616</v>
      </c>
      <c r="K82" s="11">
        <f t="shared" si="108"/>
        <v>0</v>
      </c>
      <c r="L82" s="11">
        <f t="shared" si="108"/>
        <v>0</v>
      </c>
      <c r="M82" s="11">
        <f t="shared" si="108"/>
        <v>0</v>
      </c>
      <c r="N82" s="11">
        <f t="shared" si="108"/>
        <v>0</v>
      </c>
      <c r="O82" s="11">
        <f t="shared" si="108"/>
        <v>263184</v>
      </c>
      <c r="P82" s="11">
        <f t="shared" si="108"/>
        <v>74432</v>
      </c>
      <c r="Q82" s="11">
        <f t="shared" si="108"/>
        <v>0</v>
      </c>
      <c r="R82" s="11">
        <f t="shared" si="108"/>
        <v>0</v>
      </c>
      <c r="S82" s="11">
        <f t="shared" si="108"/>
        <v>0</v>
      </c>
      <c r="T82" s="11">
        <f t="shared" si="108"/>
        <v>0</v>
      </c>
      <c r="U82" s="11">
        <f t="shared" si="108"/>
        <v>111277</v>
      </c>
      <c r="V82" s="11">
        <f t="shared" si="108"/>
        <v>168623</v>
      </c>
      <c r="W82" s="11">
        <f t="shared" si="108"/>
        <v>582</v>
      </c>
      <c r="X82" s="11">
        <f t="shared" si="108"/>
        <v>108122</v>
      </c>
      <c r="Y82" s="11">
        <f t="shared" si="108"/>
        <v>46344</v>
      </c>
      <c r="Z82" s="11">
        <f t="shared" si="108"/>
        <v>6755</v>
      </c>
      <c r="AA82" s="11">
        <f t="shared" si="108"/>
        <v>5898</v>
      </c>
      <c r="AB82" s="11">
        <f t="shared" si="108"/>
        <v>0</v>
      </c>
      <c r="AC82" s="11">
        <f t="shared" si="108"/>
        <v>0</v>
      </c>
      <c r="AD82" s="11">
        <f t="shared" si="108"/>
        <v>922</v>
      </c>
      <c r="AE82" s="11">
        <f t="shared" si="108"/>
        <v>0</v>
      </c>
      <c r="AF82" s="11">
        <f t="shared" si="108"/>
        <v>130276</v>
      </c>
      <c r="AG82" s="11">
        <f t="shared" si="108"/>
        <v>0</v>
      </c>
      <c r="AH82" s="11">
        <f t="shared" si="108"/>
        <v>0</v>
      </c>
      <c r="AI82" s="11">
        <f t="shared" si="108"/>
        <v>16933</v>
      </c>
      <c r="AJ82" s="11">
        <f t="shared" si="108"/>
        <v>82096</v>
      </c>
      <c r="AK82" s="11">
        <f t="shared" si="108"/>
        <v>0</v>
      </c>
      <c r="AL82" s="11">
        <f t="shared" si="108"/>
        <v>0</v>
      </c>
      <c r="AM82" s="11">
        <f t="shared" ref="AM82:CW84" si="109">SUM(AM83)</f>
        <v>0</v>
      </c>
      <c r="AN82" s="11">
        <f t="shared" si="109"/>
        <v>0</v>
      </c>
      <c r="AO82" s="11">
        <f t="shared" si="109"/>
        <v>180</v>
      </c>
      <c r="AP82" s="11">
        <f t="shared" si="109"/>
        <v>15627</v>
      </c>
      <c r="AQ82" s="11">
        <f t="shared" si="109"/>
        <v>0</v>
      </c>
      <c r="AR82" s="11">
        <f t="shared" si="109"/>
        <v>0</v>
      </c>
      <c r="AS82" s="11">
        <f t="shared" si="109"/>
        <v>0</v>
      </c>
      <c r="AT82" s="11">
        <f t="shared" si="109"/>
        <v>15440</v>
      </c>
      <c r="AU82" s="11">
        <f t="shared" si="109"/>
        <v>0</v>
      </c>
      <c r="AV82" s="11"/>
      <c r="AW82" s="11"/>
      <c r="AX82" s="11">
        <f t="shared" si="109"/>
        <v>0</v>
      </c>
      <c r="AY82" s="11">
        <f t="shared" si="109"/>
        <v>0</v>
      </c>
      <c r="AZ82" s="11">
        <f t="shared" si="109"/>
        <v>0</v>
      </c>
      <c r="BA82" s="11">
        <f t="shared" si="109"/>
        <v>0</v>
      </c>
      <c r="BB82" s="11">
        <f t="shared" si="109"/>
        <v>0</v>
      </c>
      <c r="BC82" s="11">
        <f t="shared" si="109"/>
        <v>6518</v>
      </c>
      <c r="BD82" s="11">
        <f t="shared" si="109"/>
        <v>0</v>
      </c>
      <c r="BE82" s="11">
        <f t="shared" si="109"/>
        <v>0</v>
      </c>
      <c r="BF82" s="11">
        <f t="shared" si="109"/>
        <v>0</v>
      </c>
      <c r="BG82" s="11">
        <f t="shared" si="109"/>
        <v>0</v>
      </c>
      <c r="BH82" s="11">
        <f t="shared" si="109"/>
        <v>0</v>
      </c>
      <c r="BI82" s="11">
        <f t="shared" si="109"/>
        <v>0</v>
      </c>
      <c r="BJ82" s="11">
        <f t="shared" si="109"/>
        <v>0</v>
      </c>
      <c r="BK82" s="11">
        <f t="shared" si="109"/>
        <v>0</v>
      </c>
      <c r="BL82" s="11">
        <f t="shared" si="109"/>
        <v>0</v>
      </c>
      <c r="BM82" s="11">
        <f t="shared" si="109"/>
        <v>0</v>
      </c>
      <c r="BN82" s="11">
        <f t="shared" si="109"/>
        <v>0</v>
      </c>
      <c r="BO82" s="11">
        <f t="shared" si="109"/>
        <v>0</v>
      </c>
      <c r="BP82" s="11">
        <f t="shared" si="109"/>
        <v>0</v>
      </c>
      <c r="BQ82" s="11">
        <f t="shared" si="109"/>
        <v>6518</v>
      </c>
      <c r="BR82" s="11">
        <f t="shared" si="109"/>
        <v>0</v>
      </c>
      <c r="BS82" s="11">
        <f t="shared" si="109"/>
        <v>0</v>
      </c>
      <c r="BT82" s="11">
        <f t="shared" si="109"/>
        <v>0</v>
      </c>
      <c r="BU82" s="11">
        <f t="shared" si="109"/>
        <v>0</v>
      </c>
      <c r="BV82" s="11">
        <f t="shared" si="109"/>
        <v>0</v>
      </c>
      <c r="BW82" s="11">
        <f t="shared" si="109"/>
        <v>0</v>
      </c>
      <c r="BX82" s="11">
        <f t="shared" si="109"/>
        <v>0</v>
      </c>
      <c r="BY82" s="11">
        <f t="shared" si="109"/>
        <v>0</v>
      </c>
      <c r="BZ82" s="11">
        <f t="shared" si="109"/>
        <v>0</v>
      </c>
      <c r="CA82" s="11">
        <f t="shared" si="109"/>
        <v>6518</v>
      </c>
      <c r="CB82" s="11">
        <f t="shared" si="109"/>
        <v>0</v>
      </c>
      <c r="CC82" s="11">
        <f t="shared" si="109"/>
        <v>222602</v>
      </c>
      <c r="CD82" s="11">
        <f t="shared" si="109"/>
        <v>222602</v>
      </c>
      <c r="CE82" s="11">
        <f t="shared" si="109"/>
        <v>222602</v>
      </c>
      <c r="CF82" s="11">
        <f t="shared" si="109"/>
        <v>0</v>
      </c>
      <c r="CG82" s="11">
        <f t="shared" si="109"/>
        <v>222602</v>
      </c>
      <c r="CH82" s="11">
        <f t="shared" si="109"/>
        <v>0</v>
      </c>
      <c r="CI82" s="11">
        <f t="shared" si="109"/>
        <v>0</v>
      </c>
      <c r="CJ82" s="11">
        <f t="shared" si="109"/>
        <v>0</v>
      </c>
      <c r="CK82" s="11">
        <f t="shared" si="109"/>
        <v>0</v>
      </c>
      <c r="CL82" s="11">
        <f t="shared" si="109"/>
        <v>0</v>
      </c>
      <c r="CM82" s="11">
        <f t="shared" si="109"/>
        <v>0</v>
      </c>
      <c r="CN82" s="11">
        <f t="shared" si="109"/>
        <v>0</v>
      </c>
      <c r="CO82" s="11">
        <f t="shared" si="109"/>
        <v>0</v>
      </c>
      <c r="CP82" s="11"/>
      <c r="CQ82" s="11">
        <f t="shared" si="109"/>
        <v>0</v>
      </c>
      <c r="CR82" s="11">
        <f t="shared" si="109"/>
        <v>0</v>
      </c>
      <c r="CS82" s="11">
        <f t="shared" si="109"/>
        <v>0</v>
      </c>
      <c r="CT82" s="11">
        <f t="shared" si="109"/>
        <v>0</v>
      </c>
      <c r="CU82" s="11">
        <f t="shared" si="109"/>
        <v>0</v>
      </c>
      <c r="CV82" s="11">
        <f t="shared" si="109"/>
        <v>0</v>
      </c>
      <c r="CW82" s="11">
        <f t="shared" si="109"/>
        <v>0</v>
      </c>
      <c r="CX82" s="12">
        <f t="shared" ref="CX82:CX84" si="110">SUM(CX83)</f>
        <v>0</v>
      </c>
    </row>
    <row r="83" spans="1:102" ht="31.5" x14ac:dyDescent="0.25">
      <c r="A83" s="13" t="s">
        <v>1</v>
      </c>
      <c r="B83" s="14" t="s">
        <v>1</v>
      </c>
      <c r="C83" s="14" t="s">
        <v>189</v>
      </c>
      <c r="D83" s="15" t="s">
        <v>190</v>
      </c>
      <c r="E83" s="10">
        <f>SUM(F83+CC83+CU83)</f>
        <v>7049877</v>
      </c>
      <c r="F83" s="11">
        <f>SUM(G83+BC83)</f>
        <v>6827275</v>
      </c>
      <c r="G83" s="11">
        <f>SUM(H83+I83+J83+Q83+T83+U83+V83+AF83+AE83)</f>
        <v>6820757</v>
      </c>
      <c r="H83" s="16">
        <f>4917301+131128</f>
        <v>5048429</v>
      </c>
      <c r="I83" s="16">
        <f>991754+32782</f>
        <v>1024536</v>
      </c>
      <c r="J83" s="11">
        <f>SUM(K83:P83)</f>
        <v>337616</v>
      </c>
      <c r="K83" s="11">
        <v>0</v>
      </c>
      <c r="L83" s="11">
        <f>60905-60905</f>
        <v>0</v>
      </c>
      <c r="M83" s="11">
        <v>0</v>
      </c>
      <c r="N83" s="11">
        <v>0</v>
      </c>
      <c r="O83" s="16">
        <v>263184</v>
      </c>
      <c r="P83" s="16">
        <v>74432</v>
      </c>
      <c r="Q83" s="11">
        <f t="shared" si="99"/>
        <v>0</v>
      </c>
      <c r="R83" s="11"/>
      <c r="S83" s="11">
        <v>0</v>
      </c>
      <c r="T83" s="11">
        <v>0</v>
      </c>
      <c r="U83" s="16">
        <f>196277-85000</f>
        <v>111277</v>
      </c>
      <c r="V83" s="11">
        <f>SUM(W83:AD83)</f>
        <v>168623</v>
      </c>
      <c r="W83" s="16">
        <v>582</v>
      </c>
      <c r="X83" s="16">
        <f>95743+12379</f>
        <v>108122</v>
      </c>
      <c r="Y83" s="16">
        <v>46344</v>
      </c>
      <c r="Z83" s="16">
        <v>6755</v>
      </c>
      <c r="AA83" s="16">
        <v>5898</v>
      </c>
      <c r="AB83" s="16"/>
      <c r="AC83" s="16"/>
      <c r="AD83" s="16">
        <v>922</v>
      </c>
      <c r="AE83" s="11"/>
      <c r="AF83" s="11">
        <f>SUM(AG83:BB83)</f>
        <v>130276</v>
      </c>
      <c r="AG83" s="11">
        <v>0</v>
      </c>
      <c r="AH83" s="11"/>
      <c r="AI83" s="16">
        <v>16933</v>
      </c>
      <c r="AJ83" s="16">
        <v>82096</v>
      </c>
      <c r="AK83" s="16"/>
      <c r="AL83" s="16"/>
      <c r="AM83" s="16"/>
      <c r="AN83" s="16"/>
      <c r="AO83" s="16">
        <v>180</v>
      </c>
      <c r="AP83" s="16">
        <v>15627</v>
      </c>
      <c r="AQ83" s="16"/>
      <c r="AR83" s="16"/>
      <c r="AS83" s="16"/>
      <c r="AT83" s="16">
        <v>15440</v>
      </c>
      <c r="AU83" s="16"/>
      <c r="AV83" s="16"/>
      <c r="AW83" s="11"/>
      <c r="AX83" s="11">
        <v>0</v>
      </c>
      <c r="AY83" s="11">
        <v>0</v>
      </c>
      <c r="AZ83" s="11">
        <v>0</v>
      </c>
      <c r="BA83" s="11"/>
      <c r="BB83" s="11">
        <v>0</v>
      </c>
      <c r="BC83" s="11">
        <f>SUM(BD83+BH83+BL83+BN83+BQ83)</f>
        <v>6518</v>
      </c>
      <c r="BD83" s="11">
        <f>SUM(BE83:BG83)</f>
        <v>0</v>
      </c>
      <c r="BE83" s="11">
        <v>0</v>
      </c>
      <c r="BF83" s="11">
        <v>0</v>
      </c>
      <c r="BG83" s="11">
        <v>0</v>
      </c>
      <c r="BH83" s="11">
        <f t="shared" si="100"/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f t="shared" si="101"/>
        <v>0</v>
      </c>
      <c r="BO83" s="11">
        <v>0</v>
      </c>
      <c r="BP83" s="11">
        <v>0</v>
      </c>
      <c r="BQ83" s="11">
        <f t="shared" si="102"/>
        <v>6518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0</v>
      </c>
      <c r="CA83" s="11">
        <v>6518</v>
      </c>
      <c r="CB83" s="11">
        <v>0</v>
      </c>
      <c r="CC83" s="11">
        <f>SUM(CD83+CT83)</f>
        <v>222602</v>
      </c>
      <c r="CD83" s="11">
        <f>SUM(CE83+CH83+CM83)</f>
        <v>222602</v>
      </c>
      <c r="CE83" s="11">
        <f t="shared" si="103"/>
        <v>222602</v>
      </c>
      <c r="CF83" s="11">
        <v>0</v>
      </c>
      <c r="CG83" s="11">
        <f>137602+85000</f>
        <v>222602</v>
      </c>
      <c r="CH83" s="11">
        <f>SUM(CI83:CL83)</f>
        <v>0</v>
      </c>
      <c r="CI83" s="11">
        <v>0</v>
      </c>
      <c r="CJ83" s="11">
        <v>0</v>
      </c>
      <c r="CK83" s="11">
        <v>0</v>
      </c>
      <c r="CL83" s="11">
        <v>0</v>
      </c>
      <c r="CM83" s="11">
        <f>SUM(CN83:CQ83)</f>
        <v>0</v>
      </c>
      <c r="CN83" s="11">
        <v>0</v>
      </c>
      <c r="CO83" s="11">
        <v>0</v>
      </c>
      <c r="CP83" s="11"/>
      <c r="CQ83" s="11">
        <v>0</v>
      </c>
      <c r="CR83" s="11"/>
      <c r="CS83" s="11"/>
      <c r="CT83" s="11">
        <v>0</v>
      </c>
      <c r="CU83" s="11">
        <f t="shared" si="104"/>
        <v>0</v>
      </c>
      <c r="CV83" s="11">
        <f t="shared" si="105"/>
        <v>0</v>
      </c>
      <c r="CW83" s="11">
        <v>0</v>
      </c>
      <c r="CX83" s="12">
        <v>0</v>
      </c>
    </row>
    <row r="84" spans="1:102" ht="15.75" x14ac:dyDescent="0.25">
      <c r="A84" s="7"/>
      <c r="B84" s="8" t="s">
        <v>191</v>
      </c>
      <c r="C84" s="8" t="s">
        <v>1</v>
      </c>
      <c r="D84" s="24" t="s">
        <v>445</v>
      </c>
      <c r="E84" s="10">
        <f t="shared" si="108"/>
        <v>70270502</v>
      </c>
      <c r="F84" s="11">
        <f t="shared" si="108"/>
        <v>66674243</v>
      </c>
      <c r="G84" s="11">
        <f t="shared" si="108"/>
        <v>65567622</v>
      </c>
      <c r="H84" s="11">
        <f t="shared" si="108"/>
        <v>34866760</v>
      </c>
      <c r="I84" s="11">
        <f t="shared" si="108"/>
        <v>1167843</v>
      </c>
      <c r="J84" s="11">
        <f t="shared" si="108"/>
        <v>6844533</v>
      </c>
      <c r="K84" s="11">
        <f t="shared" si="108"/>
        <v>86706</v>
      </c>
      <c r="L84" s="11">
        <f t="shared" si="108"/>
        <v>2663930</v>
      </c>
      <c r="M84" s="11">
        <f t="shared" si="108"/>
        <v>0</v>
      </c>
      <c r="N84" s="11">
        <f t="shared" si="108"/>
        <v>73813</v>
      </c>
      <c r="O84" s="11">
        <f t="shared" si="108"/>
        <v>2943364</v>
      </c>
      <c r="P84" s="11">
        <f t="shared" si="108"/>
        <v>1076720</v>
      </c>
      <c r="Q84" s="11">
        <f t="shared" si="108"/>
        <v>277274</v>
      </c>
      <c r="R84" s="11">
        <f t="shared" si="108"/>
        <v>77212</v>
      </c>
      <c r="S84" s="11">
        <f t="shared" si="108"/>
        <v>200062</v>
      </c>
      <c r="T84" s="11">
        <f t="shared" si="108"/>
        <v>17722</v>
      </c>
      <c r="U84" s="11">
        <f t="shared" si="108"/>
        <v>409438</v>
      </c>
      <c r="V84" s="11">
        <f t="shared" si="108"/>
        <v>2074278</v>
      </c>
      <c r="W84" s="11">
        <f t="shared" si="108"/>
        <v>1035255</v>
      </c>
      <c r="X84" s="11">
        <f t="shared" si="108"/>
        <v>4279</v>
      </c>
      <c r="Y84" s="11">
        <f t="shared" si="108"/>
        <v>824920</v>
      </c>
      <c r="Z84" s="11">
        <f t="shared" si="108"/>
        <v>54432</v>
      </c>
      <c r="AA84" s="11">
        <f t="shared" si="108"/>
        <v>80400</v>
      </c>
      <c r="AB84" s="11">
        <f t="shared" si="108"/>
        <v>12000</v>
      </c>
      <c r="AC84" s="11">
        <f t="shared" si="108"/>
        <v>0</v>
      </c>
      <c r="AD84" s="11">
        <f t="shared" si="108"/>
        <v>62992</v>
      </c>
      <c r="AE84" s="11">
        <f t="shared" si="108"/>
        <v>0</v>
      </c>
      <c r="AF84" s="11">
        <f t="shared" si="108"/>
        <v>19909774</v>
      </c>
      <c r="AG84" s="11">
        <f t="shared" si="108"/>
        <v>0</v>
      </c>
      <c r="AH84" s="11">
        <f t="shared" si="108"/>
        <v>0</v>
      </c>
      <c r="AI84" s="11">
        <f t="shared" si="108"/>
        <v>88831</v>
      </c>
      <c r="AJ84" s="11">
        <f t="shared" si="108"/>
        <v>137411</v>
      </c>
      <c r="AK84" s="11">
        <f t="shared" si="108"/>
        <v>0</v>
      </c>
      <c r="AL84" s="11">
        <f t="shared" si="108"/>
        <v>2089</v>
      </c>
      <c r="AM84" s="11">
        <f t="shared" si="109"/>
        <v>0</v>
      </c>
      <c r="AN84" s="11">
        <f t="shared" si="109"/>
        <v>3770</v>
      </c>
      <c r="AO84" s="11">
        <f t="shared" si="109"/>
        <v>56229</v>
      </c>
      <c r="AP84" s="11">
        <f t="shared" si="109"/>
        <v>13386</v>
      </c>
      <c r="AQ84" s="11">
        <f t="shared" si="109"/>
        <v>0</v>
      </c>
      <c r="AR84" s="11">
        <f t="shared" si="109"/>
        <v>0</v>
      </c>
      <c r="AS84" s="11">
        <f t="shared" si="109"/>
        <v>67500</v>
      </c>
      <c r="AT84" s="11">
        <f t="shared" si="109"/>
        <v>0</v>
      </c>
      <c r="AU84" s="11">
        <f t="shared" si="109"/>
        <v>0</v>
      </c>
      <c r="AV84" s="11"/>
      <c r="AW84" s="11"/>
      <c r="AX84" s="11">
        <f t="shared" si="109"/>
        <v>0</v>
      </c>
      <c r="AY84" s="11">
        <f t="shared" si="109"/>
        <v>18651813</v>
      </c>
      <c r="AZ84" s="11">
        <f t="shared" si="109"/>
        <v>0</v>
      </c>
      <c r="BA84" s="11">
        <f t="shared" si="109"/>
        <v>421632</v>
      </c>
      <c r="BB84" s="11">
        <f t="shared" si="109"/>
        <v>467113</v>
      </c>
      <c r="BC84" s="11">
        <f t="shared" si="109"/>
        <v>1106621</v>
      </c>
      <c r="BD84" s="11">
        <f t="shared" si="109"/>
        <v>0</v>
      </c>
      <c r="BE84" s="11">
        <f t="shared" si="109"/>
        <v>0</v>
      </c>
      <c r="BF84" s="11">
        <f t="shared" si="109"/>
        <v>0</v>
      </c>
      <c r="BG84" s="11">
        <f t="shared" si="109"/>
        <v>0</v>
      </c>
      <c r="BH84" s="11">
        <f t="shared" si="109"/>
        <v>0</v>
      </c>
      <c r="BI84" s="11">
        <f t="shared" si="109"/>
        <v>0</v>
      </c>
      <c r="BJ84" s="11">
        <f t="shared" si="109"/>
        <v>0</v>
      </c>
      <c r="BK84" s="11">
        <f t="shared" si="109"/>
        <v>0</v>
      </c>
      <c r="BL84" s="11">
        <f t="shared" si="109"/>
        <v>0</v>
      </c>
      <c r="BM84" s="11">
        <f t="shared" si="109"/>
        <v>0</v>
      </c>
      <c r="BN84" s="11">
        <f t="shared" si="109"/>
        <v>0</v>
      </c>
      <c r="BO84" s="11">
        <f t="shared" si="109"/>
        <v>0</v>
      </c>
      <c r="BP84" s="11">
        <f t="shared" si="109"/>
        <v>0</v>
      </c>
      <c r="BQ84" s="11">
        <f t="shared" si="109"/>
        <v>1106621</v>
      </c>
      <c r="BR84" s="11">
        <f t="shared" si="109"/>
        <v>0</v>
      </c>
      <c r="BS84" s="11">
        <f t="shared" si="109"/>
        <v>0</v>
      </c>
      <c r="BT84" s="11">
        <f t="shared" si="109"/>
        <v>0</v>
      </c>
      <c r="BU84" s="11">
        <f t="shared" si="109"/>
        <v>0</v>
      </c>
      <c r="BV84" s="11">
        <f t="shared" si="109"/>
        <v>0</v>
      </c>
      <c r="BW84" s="11">
        <f t="shared" si="109"/>
        <v>0</v>
      </c>
      <c r="BX84" s="11">
        <f t="shared" si="109"/>
        <v>0</v>
      </c>
      <c r="BY84" s="11">
        <f t="shared" si="109"/>
        <v>0</v>
      </c>
      <c r="BZ84" s="11">
        <f t="shared" si="109"/>
        <v>0</v>
      </c>
      <c r="CA84" s="11">
        <f t="shared" si="109"/>
        <v>1106621</v>
      </c>
      <c r="CB84" s="11">
        <f t="shared" si="109"/>
        <v>0</v>
      </c>
      <c r="CC84" s="11">
        <f t="shared" si="109"/>
        <v>3596259</v>
      </c>
      <c r="CD84" s="11">
        <f t="shared" si="109"/>
        <v>3596259</v>
      </c>
      <c r="CE84" s="11">
        <f t="shared" si="109"/>
        <v>1468500</v>
      </c>
      <c r="CF84" s="11">
        <f t="shared" si="109"/>
        <v>0</v>
      </c>
      <c r="CG84" s="11">
        <f t="shared" si="109"/>
        <v>1468500</v>
      </c>
      <c r="CH84" s="11">
        <f t="shared" si="109"/>
        <v>0</v>
      </c>
      <c r="CI84" s="11">
        <f t="shared" si="109"/>
        <v>0</v>
      </c>
      <c r="CJ84" s="11">
        <f t="shared" si="109"/>
        <v>0</v>
      </c>
      <c r="CK84" s="11">
        <f t="shared" si="109"/>
        <v>0</v>
      </c>
      <c r="CL84" s="11">
        <f t="shared" si="109"/>
        <v>0</v>
      </c>
      <c r="CM84" s="11">
        <f t="shared" si="109"/>
        <v>2127759</v>
      </c>
      <c r="CN84" s="11">
        <f t="shared" si="109"/>
        <v>0</v>
      </c>
      <c r="CO84" s="11">
        <f t="shared" si="109"/>
        <v>2127759</v>
      </c>
      <c r="CP84" s="11"/>
      <c r="CQ84" s="11">
        <f t="shared" si="109"/>
        <v>0</v>
      </c>
      <c r="CR84" s="11">
        <f t="shared" si="109"/>
        <v>0</v>
      </c>
      <c r="CS84" s="11">
        <f t="shared" si="109"/>
        <v>0</v>
      </c>
      <c r="CT84" s="11">
        <f t="shared" si="109"/>
        <v>0</v>
      </c>
      <c r="CU84" s="11">
        <f t="shared" si="109"/>
        <v>0</v>
      </c>
      <c r="CV84" s="11">
        <f t="shared" si="109"/>
        <v>0</v>
      </c>
      <c r="CW84" s="11">
        <f t="shared" si="109"/>
        <v>0</v>
      </c>
      <c r="CX84" s="12">
        <f t="shared" si="110"/>
        <v>0</v>
      </c>
    </row>
    <row r="85" spans="1:102" ht="31.5" x14ac:dyDescent="0.25">
      <c r="A85" s="13"/>
      <c r="B85" s="14" t="s">
        <v>1</v>
      </c>
      <c r="C85" s="14" t="s">
        <v>192</v>
      </c>
      <c r="D85" s="25" t="s">
        <v>193</v>
      </c>
      <c r="E85" s="10">
        <f>SUM(F85+CC85+CU85)</f>
        <v>70270502</v>
      </c>
      <c r="F85" s="11">
        <f>SUM(G85+BC85)</f>
        <v>66674243</v>
      </c>
      <c r="G85" s="11">
        <f>SUM(H85+I85+J85+Q85+T85+U85+V85+AF85+AE85)</f>
        <v>65567622</v>
      </c>
      <c r="H85" s="16">
        <f>33101354+1765406</f>
        <v>34866760</v>
      </c>
      <c r="I85" s="16">
        <f>726492+441351</f>
        <v>1167843</v>
      </c>
      <c r="J85" s="11">
        <f>SUM(K85:P85)</f>
        <v>6844533</v>
      </c>
      <c r="K85" s="16">
        <v>86706</v>
      </c>
      <c r="L85" s="16">
        <v>2663930</v>
      </c>
      <c r="M85" s="16"/>
      <c r="N85" s="16">
        <v>73813</v>
      </c>
      <c r="O85" s="16">
        <v>2943364</v>
      </c>
      <c r="P85" s="16">
        <v>1076720</v>
      </c>
      <c r="Q85" s="11">
        <f t="shared" ref="Q85" si="111">SUM(R85:S85)</f>
        <v>277274</v>
      </c>
      <c r="R85" s="16">
        <v>77212</v>
      </c>
      <c r="S85" s="16">
        <v>200062</v>
      </c>
      <c r="T85" s="16">
        <v>17722</v>
      </c>
      <c r="U85" s="16">
        <v>409438</v>
      </c>
      <c r="V85" s="11">
        <f>SUM(W85:AD85)</f>
        <v>2074278</v>
      </c>
      <c r="W85" s="16">
        <v>1035255</v>
      </c>
      <c r="X85" s="16">
        <f>3637+642</f>
        <v>4279</v>
      </c>
      <c r="Y85" s="16">
        <v>824920</v>
      </c>
      <c r="Z85" s="16">
        <v>54432</v>
      </c>
      <c r="AA85" s="16">
        <v>80400</v>
      </c>
      <c r="AB85" s="16">
        <v>12000</v>
      </c>
      <c r="AC85" s="16"/>
      <c r="AD85" s="16">
        <f>59949+3043</f>
        <v>62992</v>
      </c>
      <c r="AE85" s="11"/>
      <c r="AF85" s="11">
        <f>SUM(AG85:BB85)</f>
        <v>19909774</v>
      </c>
      <c r="AG85" s="11">
        <v>0</v>
      </c>
      <c r="AH85" s="11"/>
      <c r="AI85" s="16">
        <v>88831</v>
      </c>
      <c r="AJ85" s="16">
        <v>137411</v>
      </c>
      <c r="AK85" s="16"/>
      <c r="AL85" s="16">
        <v>2089</v>
      </c>
      <c r="AM85" s="16"/>
      <c r="AN85" s="16">
        <v>3770</v>
      </c>
      <c r="AO85" s="16">
        <v>56229</v>
      </c>
      <c r="AP85" s="16">
        <v>13386</v>
      </c>
      <c r="AQ85" s="16"/>
      <c r="AR85" s="16"/>
      <c r="AS85" s="16">
        <v>67500</v>
      </c>
      <c r="AT85" s="16"/>
      <c r="AU85" s="16"/>
      <c r="AV85" s="16"/>
      <c r="AW85" s="16"/>
      <c r="AX85" s="11">
        <v>0</v>
      </c>
      <c r="AY85" s="16">
        <f>19502313-850500</f>
        <v>18651813</v>
      </c>
      <c r="AZ85" s="16"/>
      <c r="BA85" s="16">
        <v>421632</v>
      </c>
      <c r="BB85" s="16">
        <v>467113</v>
      </c>
      <c r="BC85" s="11">
        <f>SUM(BD85+BH85+BL85+BN85+BQ85)</f>
        <v>1106621</v>
      </c>
      <c r="BD85" s="11">
        <f>SUM(BE85:BG85)</f>
        <v>0</v>
      </c>
      <c r="BE85" s="11">
        <v>0</v>
      </c>
      <c r="BF85" s="11">
        <v>0</v>
      </c>
      <c r="BG85" s="11">
        <v>0</v>
      </c>
      <c r="BH85" s="11">
        <f t="shared" ref="BH85" si="112">SUM(BJ85:BK85)</f>
        <v>0</v>
      </c>
      <c r="BI85" s="11">
        <v>0</v>
      </c>
      <c r="BJ85" s="11">
        <v>0</v>
      </c>
      <c r="BK85" s="11">
        <v>0</v>
      </c>
      <c r="BL85" s="11">
        <v>0</v>
      </c>
      <c r="BM85" s="11">
        <v>0</v>
      </c>
      <c r="BN85" s="11">
        <f t="shared" ref="BN85" si="113">SUM(BO85)</f>
        <v>0</v>
      </c>
      <c r="BO85" s="11">
        <v>0</v>
      </c>
      <c r="BP85" s="11">
        <v>0</v>
      </c>
      <c r="BQ85" s="11">
        <f t="shared" ref="BQ85" si="114">SUM(BR85:CB85)</f>
        <v>1106621</v>
      </c>
      <c r="BR85" s="11">
        <v>0</v>
      </c>
      <c r="BS85" s="11">
        <v>0</v>
      </c>
      <c r="BT85" s="11">
        <v>0</v>
      </c>
      <c r="BU85" s="11">
        <v>0</v>
      </c>
      <c r="BV85" s="11">
        <v>0</v>
      </c>
      <c r="BW85" s="11">
        <v>0</v>
      </c>
      <c r="BX85" s="11">
        <v>0</v>
      </c>
      <c r="BY85" s="11">
        <v>0</v>
      </c>
      <c r="BZ85" s="11">
        <v>0</v>
      </c>
      <c r="CA85" s="16">
        <v>1106621</v>
      </c>
      <c r="CB85" s="11">
        <v>0</v>
      </c>
      <c r="CC85" s="11">
        <f>SUM(CD85+CT85)</f>
        <v>3596259</v>
      </c>
      <c r="CD85" s="11">
        <f>SUM(CE85+CH85+CM85)</f>
        <v>3596259</v>
      </c>
      <c r="CE85" s="11">
        <f t="shared" ref="CE85" si="115">SUM(CF85:CG85)</f>
        <v>1468500</v>
      </c>
      <c r="CF85" s="11">
        <v>0</v>
      </c>
      <c r="CG85" s="16">
        <f>618000+850500</f>
        <v>1468500</v>
      </c>
      <c r="CH85" s="11">
        <f>SUM(CI85:CL85)</f>
        <v>0</v>
      </c>
      <c r="CI85" s="11">
        <v>0</v>
      </c>
      <c r="CJ85" s="11">
        <v>0</v>
      </c>
      <c r="CK85" s="11">
        <v>0</v>
      </c>
      <c r="CL85" s="11">
        <v>0</v>
      </c>
      <c r="CM85" s="11">
        <f>SUM(CN85:CQ85)</f>
        <v>2127759</v>
      </c>
      <c r="CN85" s="16"/>
      <c r="CO85" s="11">
        <v>2127759</v>
      </c>
      <c r="CP85" s="11"/>
      <c r="CQ85" s="11">
        <v>0</v>
      </c>
      <c r="CR85" s="11"/>
      <c r="CS85" s="11"/>
      <c r="CT85" s="11">
        <v>0</v>
      </c>
      <c r="CU85" s="11">
        <f t="shared" ref="CU85" si="116">SUM(CV85)</f>
        <v>0</v>
      </c>
      <c r="CV85" s="11">
        <f t="shared" ref="CV85" si="117">SUM(CW85:CX85)</f>
        <v>0</v>
      </c>
      <c r="CW85" s="11">
        <v>0</v>
      </c>
      <c r="CX85" s="12">
        <v>0</v>
      </c>
    </row>
    <row r="86" spans="1:102" ht="15.75" x14ac:dyDescent="0.25">
      <c r="A86" s="7"/>
      <c r="B86" s="8" t="s">
        <v>194</v>
      </c>
      <c r="C86" s="8" t="s">
        <v>1</v>
      </c>
      <c r="D86" s="9" t="s">
        <v>195</v>
      </c>
      <c r="E86" s="10">
        <f t="shared" ref="E86:AL86" si="118">SUM(E87)</f>
        <v>28068542</v>
      </c>
      <c r="F86" s="11">
        <f t="shared" si="118"/>
        <v>27759444</v>
      </c>
      <c r="G86" s="11">
        <f t="shared" si="118"/>
        <v>27753116</v>
      </c>
      <c r="H86" s="11">
        <f t="shared" si="118"/>
        <v>22560619</v>
      </c>
      <c r="I86" s="11">
        <f t="shared" si="118"/>
        <v>303018</v>
      </c>
      <c r="J86" s="11">
        <f t="shared" si="118"/>
        <v>2924795</v>
      </c>
      <c r="K86" s="11">
        <f t="shared" si="118"/>
        <v>17901</v>
      </c>
      <c r="L86" s="11">
        <f t="shared" si="118"/>
        <v>549324</v>
      </c>
      <c r="M86" s="11">
        <f t="shared" si="118"/>
        <v>11118</v>
      </c>
      <c r="N86" s="11">
        <f t="shared" si="118"/>
        <v>0</v>
      </c>
      <c r="O86" s="11">
        <f t="shared" si="118"/>
        <v>2206623</v>
      </c>
      <c r="P86" s="11">
        <f t="shared" si="118"/>
        <v>139829</v>
      </c>
      <c r="Q86" s="11">
        <f t="shared" si="118"/>
        <v>515234</v>
      </c>
      <c r="R86" s="11">
        <f t="shared" si="118"/>
        <v>24418</v>
      </c>
      <c r="S86" s="11">
        <f t="shared" si="118"/>
        <v>490816</v>
      </c>
      <c r="T86" s="11">
        <f t="shared" si="118"/>
        <v>0</v>
      </c>
      <c r="U86" s="11">
        <f t="shared" si="118"/>
        <v>105348</v>
      </c>
      <c r="V86" s="11">
        <f t="shared" si="118"/>
        <v>141548</v>
      </c>
      <c r="W86" s="11">
        <f t="shared" si="118"/>
        <v>12258</v>
      </c>
      <c r="X86" s="11">
        <f t="shared" si="118"/>
        <v>0</v>
      </c>
      <c r="Y86" s="11">
        <f t="shared" si="118"/>
        <v>91438</v>
      </c>
      <c r="Z86" s="11">
        <f t="shared" si="118"/>
        <v>22587</v>
      </c>
      <c r="AA86" s="11">
        <f t="shared" si="118"/>
        <v>4067</v>
      </c>
      <c r="AB86" s="11">
        <f t="shared" si="118"/>
        <v>0</v>
      </c>
      <c r="AC86" s="11">
        <f t="shared" si="118"/>
        <v>0</v>
      </c>
      <c r="AD86" s="11">
        <f t="shared" si="118"/>
        <v>11198</v>
      </c>
      <c r="AE86" s="11">
        <f t="shared" si="118"/>
        <v>0</v>
      </c>
      <c r="AF86" s="11">
        <f t="shared" si="118"/>
        <v>1202554</v>
      </c>
      <c r="AG86" s="11">
        <f t="shared" si="118"/>
        <v>0</v>
      </c>
      <c r="AH86" s="11">
        <f t="shared" si="118"/>
        <v>0</v>
      </c>
      <c r="AI86" s="11">
        <f t="shared" si="118"/>
        <v>0</v>
      </c>
      <c r="AJ86" s="11">
        <f t="shared" si="118"/>
        <v>0</v>
      </c>
      <c r="AK86" s="11">
        <f t="shared" si="118"/>
        <v>0</v>
      </c>
      <c r="AL86" s="11">
        <f t="shared" si="118"/>
        <v>12240</v>
      </c>
      <c r="AM86" s="11">
        <f t="shared" ref="AM86:CX86" si="119">SUM(AM87)</f>
        <v>7500</v>
      </c>
      <c r="AN86" s="11">
        <f t="shared" si="119"/>
        <v>0</v>
      </c>
      <c r="AO86" s="11">
        <f t="shared" si="119"/>
        <v>0</v>
      </c>
      <c r="AP86" s="11">
        <f t="shared" si="119"/>
        <v>52380</v>
      </c>
      <c r="AQ86" s="11">
        <f t="shared" si="119"/>
        <v>0</v>
      </c>
      <c r="AR86" s="11">
        <f t="shared" si="119"/>
        <v>0</v>
      </c>
      <c r="AS86" s="11">
        <f t="shared" si="119"/>
        <v>121483</v>
      </c>
      <c r="AT86" s="11">
        <f t="shared" si="119"/>
        <v>0</v>
      </c>
      <c r="AU86" s="11">
        <f t="shared" si="119"/>
        <v>19200</v>
      </c>
      <c r="AV86" s="11"/>
      <c r="AW86" s="11"/>
      <c r="AX86" s="11">
        <f t="shared" si="119"/>
        <v>0</v>
      </c>
      <c r="AY86" s="11">
        <f t="shared" si="119"/>
        <v>954751</v>
      </c>
      <c r="AZ86" s="11">
        <f t="shared" si="119"/>
        <v>0</v>
      </c>
      <c r="BA86" s="11">
        <f t="shared" si="119"/>
        <v>0</v>
      </c>
      <c r="BB86" s="11">
        <f t="shared" si="119"/>
        <v>35000</v>
      </c>
      <c r="BC86" s="11">
        <f t="shared" si="119"/>
        <v>6328</v>
      </c>
      <c r="BD86" s="11">
        <f t="shared" si="119"/>
        <v>0</v>
      </c>
      <c r="BE86" s="11">
        <f t="shared" si="119"/>
        <v>0</v>
      </c>
      <c r="BF86" s="11">
        <f t="shared" si="119"/>
        <v>0</v>
      </c>
      <c r="BG86" s="11">
        <f t="shared" si="119"/>
        <v>0</v>
      </c>
      <c r="BH86" s="11">
        <f t="shared" si="119"/>
        <v>0</v>
      </c>
      <c r="BI86" s="11">
        <f t="shared" si="119"/>
        <v>0</v>
      </c>
      <c r="BJ86" s="11">
        <f t="shared" si="119"/>
        <v>0</v>
      </c>
      <c r="BK86" s="11">
        <f t="shared" si="119"/>
        <v>0</v>
      </c>
      <c r="BL86" s="11">
        <f t="shared" si="119"/>
        <v>0</v>
      </c>
      <c r="BM86" s="11">
        <f t="shared" si="119"/>
        <v>0</v>
      </c>
      <c r="BN86" s="11">
        <f t="shared" si="119"/>
        <v>6328</v>
      </c>
      <c r="BO86" s="11">
        <f t="shared" si="119"/>
        <v>6328</v>
      </c>
      <c r="BP86" s="11">
        <f t="shared" si="119"/>
        <v>0</v>
      </c>
      <c r="BQ86" s="11">
        <f t="shared" si="119"/>
        <v>0</v>
      </c>
      <c r="BR86" s="11">
        <f t="shared" si="119"/>
        <v>0</v>
      </c>
      <c r="BS86" s="11">
        <f t="shared" si="119"/>
        <v>0</v>
      </c>
      <c r="BT86" s="11">
        <f t="shared" si="119"/>
        <v>0</v>
      </c>
      <c r="BU86" s="11">
        <f t="shared" si="119"/>
        <v>0</v>
      </c>
      <c r="BV86" s="11">
        <f t="shared" si="119"/>
        <v>0</v>
      </c>
      <c r="BW86" s="11">
        <f t="shared" si="119"/>
        <v>0</v>
      </c>
      <c r="BX86" s="11">
        <f t="shared" si="119"/>
        <v>0</v>
      </c>
      <c r="BY86" s="11">
        <f t="shared" si="119"/>
        <v>0</v>
      </c>
      <c r="BZ86" s="11">
        <f t="shared" si="119"/>
        <v>0</v>
      </c>
      <c r="CA86" s="11">
        <f t="shared" si="119"/>
        <v>0</v>
      </c>
      <c r="CB86" s="11">
        <f t="shared" si="119"/>
        <v>0</v>
      </c>
      <c r="CC86" s="11">
        <f t="shared" si="119"/>
        <v>309098</v>
      </c>
      <c r="CD86" s="11">
        <f t="shared" si="119"/>
        <v>309098</v>
      </c>
      <c r="CE86" s="11">
        <f t="shared" si="119"/>
        <v>274618</v>
      </c>
      <c r="CF86" s="11">
        <f t="shared" si="119"/>
        <v>0</v>
      </c>
      <c r="CG86" s="11">
        <f t="shared" si="119"/>
        <v>274618</v>
      </c>
      <c r="CH86" s="11">
        <f t="shared" si="119"/>
        <v>0</v>
      </c>
      <c r="CI86" s="11">
        <f t="shared" si="119"/>
        <v>0</v>
      </c>
      <c r="CJ86" s="11">
        <f t="shared" si="119"/>
        <v>0</v>
      </c>
      <c r="CK86" s="11">
        <f t="shared" si="119"/>
        <v>0</v>
      </c>
      <c r="CL86" s="11">
        <f t="shared" si="119"/>
        <v>0</v>
      </c>
      <c r="CM86" s="11">
        <f t="shared" si="119"/>
        <v>34480</v>
      </c>
      <c r="CN86" s="11">
        <f t="shared" si="119"/>
        <v>0</v>
      </c>
      <c r="CO86" s="11">
        <f t="shared" si="119"/>
        <v>34480</v>
      </c>
      <c r="CP86" s="11"/>
      <c r="CQ86" s="11">
        <f t="shared" si="119"/>
        <v>0</v>
      </c>
      <c r="CR86" s="11">
        <f t="shared" si="119"/>
        <v>0</v>
      </c>
      <c r="CS86" s="11">
        <f t="shared" si="119"/>
        <v>0</v>
      </c>
      <c r="CT86" s="11">
        <f t="shared" si="119"/>
        <v>0</v>
      </c>
      <c r="CU86" s="11">
        <f t="shared" si="119"/>
        <v>0</v>
      </c>
      <c r="CV86" s="11">
        <f t="shared" si="119"/>
        <v>0</v>
      </c>
      <c r="CW86" s="11">
        <f t="shared" si="119"/>
        <v>0</v>
      </c>
      <c r="CX86" s="12">
        <f t="shared" si="119"/>
        <v>0</v>
      </c>
    </row>
    <row r="87" spans="1:102" ht="15.75" x14ac:dyDescent="0.25">
      <c r="A87" s="13" t="s">
        <v>1</v>
      </c>
      <c r="B87" s="14" t="s">
        <v>1</v>
      </c>
      <c r="C87" s="14" t="s">
        <v>196</v>
      </c>
      <c r="D87" s="15" t="s">
        <v>197</v>
      </c>
      <c r="E87" s="10">
        <f>SUM(F87+CC87+CU87)</f>
        <v>28068542</v>
      </c>
      <c r="F87" s="11">
        <f>SUM(G87+BC87)</f>
        <v>27759444</v>
      </c>
      <c r="G87" s="11">
        <f>SUM(H87+I87+J87+Q87+T87+U87+V87+AF87+AE87)</f>
        <v>27753116</v>
      </c>
      <c r="H87" s="16">
        <f>21418309+1142310</f>
        <v>22560619</v>
      </c>
      <c r="I87" s="16">
        <f>17441+285577</f>
        <v>303018</v>
      </c>
      <c r="J87" s="11">
        <f>SUM(K87:P87)</f>
        <v>2924795</v>
      </c>
      <c r="K87" s="16">
        <v>17901</v>
      </c>
      <c r="L87" s="16">
        <v>549324</v>
      </c>
      <c r="M87" s="16">
        <v>11118</v>
      </c>
      <c r="N87" s="16"/>
      <c r="O87" s="16">
        <f>1806623+400000</f>
        <v>2206623</v>
      </c>
      <c r="P87" s="16">
        <v>139829</v>
      </c>
      <c r="Q87" s="11">
        <f t="shared" si="99"/>
        <v>515234</v>
      </c>
      <c r="R87" s="16">
        <v>24418</v>
      </c>
      <c r="S87" s="16">
        <v>490816</v>
      </c>
      <c r="T87" s="16"/>
      <c r="U87" s="16">
        <v>105348</v>
      </c>
      <c r="V87" s="11">
        <f>SUM(W87:AD87)</f>
        <v>141548</v>
      </c>
      <c r="W87" s="16">
        <v>12258</v>
      </c>
      <c r="X87" s="16"/>
      <c r="Y87" s="16">
        <v>91438</v>
      </c>
      <c r="Z87" s="16">
        <v>22587</v>
      </c>
      <c r="AA87" s="16">
        <v>4067</v>
      </c>
      <c r="AB87" s="16"/>
      <c r="AC87" s="16"/>
      <c r="AD87" s="16">
        <v>11198</v>
      </c>
      <c r="AE87" s="11"/>
      <c r="AF87" s="11">
        <f>SUM(AG87:BB87)</f>
        <v>1202554</v>
      </c>
      <c r="AG87" s="11">
        <v>0</v>
      </c>
      <c r="AH87" s="11">
        <v>0</v>
      </c>
      <c r="AI87" s="11">
        <v>0</v>
      </c>
      <c r="AJ87" s="11"/>
      <c r="AK87" s="11">
        <v>0</v>
      </c>
      <c r="AL87" s="11">
        <v>12240</v>
      </c>
      <c r="AM87" s="11">
        <v>7500</v>
      </c>
      <c r="AN87" s="11"/>
      <c r="AO87" s="11"/>
      <c r="AP87" s="11">
        <v>52380</v>
      </c>
      <c r="AQ87" s="11">
        <v>0</v>
      </c>
      <c r="AR87" s="11"/>
      <c r="AS87" s="11">
        <v>121483</v>
      </c>
      <c r="AT87" s="11">
        <v>0</v>
      </c>
      <c r="AU87" s="11">
        <v>19200</v>
      </c>
      <c r="AV87" s="11"/>
      <c r="AW87" s="11"/>
      <c r="AX87" s="11">
        <v>0</v>
      </c>
      <c r="AY87" s="11">
        <v>954751</v>
      </c>
      <c r="AZ87" s="11">
        <v>0</v>
      </c>
      <c r="BA87" s="11">
        <v>0</v>
      </c>
      <c r="BB87" s="11">
        <v>35000</v>
      </c>
      <c r="BC87" s="11">
        <f>SUM(BD87+BH87+BL87+BN87+BQ87)</f>
        <v>6328</v>
      </c>
      <c r="BD87" s="11">
        <f>SUM(BE87:BG87)</f>
        <v>0</v>
      </c>
      <c r="BE87" s="11">
        <v>0</v>
      </c>
      <c r="BF87" s="11">
        <v>0</v>
      </c>
      <c r="BG87" s="11">
        <v>0</v>
      </c>
      <c r="BH87" s="11">
        <f t="shared" si="100"/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f t="shared" si="101"/>
        <v>6328</v>
      </c>
      <c r="BO87" s="11">
        <v>6328</v>
      </c>
      <c r="BP87" s="11"/>
      <c r="BQ87" s="11">
        <f t="shared" si="102"/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v>0</v>
      </c>
      <c r="BW87" s="11">
        <v>0</v>
      </c>
      <c r="BX87" s="11">
        <v>0</v>
      </c>
      <c r="BY87" s="11">
        <v>0</v>
      </c>
      <c r="BZ87" s="11">
        <v>0</v>
      </c>
      <c r="CA87" s="11">
        <v>0</v>
      </c>
      <c r="CB87" s="11"/>
      <c r="CC87" s="11">
        <f>SUM(CD87+CT87)</f>
        <v>309098</v>
      </c>
      <c r="CD87" s="11">
        <f>SUM(CE87+CH87+CM87)</f>
        <v>309098</v>
      </c>
      <c r="CE87" s="11">
        <f t="shared" si="103"/>
        <v>274618</v>
      </c>
      <c r="CF87" s="11">
        <v>0</v>
      </c>
      <c r="CG87" s="11">
        <v>274618</v>
      </c>
      <c r="CH87" s="11">
        <f>SUM(CI87:CL87)</f>
        <v>0</v>
      </c>
      <c r="CI87" s="11">
        <v>0</v>
      </c>
      <c r="CJ87" s="11">
        <v>0</v>
      </c>
      <c r="CK87" s="11">
        <v>0</v>
      </c>
      <c r="CL87" s="11">
        <v>0</v>
      </c>
      <c r="CM87" s="11">
        <f>SUM(CN87:CQ87)</f>
        <v>34480</v>
      </c>
      <c r="CN87" s="11"/>
      <c r="CO87" s="11">
        <v>34480</v>
      </c>
      <c r="CP87" s="11"/>
      <c r="CQ87" s="11">
        <v>0</v>
      </c>
      <c r="CR87" s="11">
        <v>0</v>
      </c>
      <c r="CS87" s="11">
        <v>0</v>
      </c>
      <c r="CT87" s="11">
        <v>0</v>
      </c>
      <c r="CU87" s="11">
        <f t="shared" si="104"/>
        <v>0</v>
      </c>
      <c r="CV87" s="11">
        <f t="shared" si="105"/>
        <v>0</v>
      </c>
      <c r="CW87" s="11">
        <v>0</v>
      </c>
      <c r="CX87" s="12">
        <v>0</v>
      </c>
    </row>
    <row r="88" spans="1:102" ht="47.25" x14ac:dyDescent="0.25">
      <c r="A88" s="18" t="s">
        <v>198</v>
      </c>
      <c r="B88" s="19" t="s">
        <v>1</v>
      </c>
      <c r="C88" s="19" t="s">
        <v>1</v>
      </c>
      <c r="D88" s="20" t="s">
        <v>199</v>
      </c>
      <c r="E88" s="21">
        <f>SUM(E89+E92)</f>
        <v>18651038</v>
      </c>
      <c r="F88" s="22">
        <f t="shared" ref="F88:BW88" si="120">SUM(F89+F92)</f>
        <v>18651038</v>
      </c>
      <c r="G88" s="22">
        <f t="shared" si="120"/>
        <v>18633597</v>
      </c>
      <c r="H88" s="22">
        <f t="shared" si="120"/>
        <v>8000341</v>
      </c>
      <c r="I88" s="22">
        <f t="shared" si="120"/>
        <v>1932686</v>
      </c>
      <c r="J88" s="22">
        <f t="shared" si="120"/>
        <v>35497</v>
      </c>
      <c r="K88" s="22">
        <f t="shared" si="120"/>
        <v>0</v>
      </c>
      <c r="L88" s="22">
        <f t="shared" si="120"/>
        <v>0</v>
      </c>
      <c r="M88" s="22">
        <f t="shared" si="120"/>
        <v>0</v>
      </c>
      <c r="N88" s="22">
        <f t="shared" si="120"/>
        <v>0</v>
      </c>
      <c r="O88" s="22">
        <f t="shared" si="120"/>
        <v>35497</v>
      </c>
      <c r="P88" s="22">
        <f t="shared" si="120"/>
        <v>0</v>
      </c>
      <c r="Q88" s="22">
        <f t="shared" si="120"/>
        <v>85</v>
      </c>
      <c r="R88" s="22">
        <f t="shared" si="120"/>
        <v>85</v>
      </c>
      <c r="S88" s="22">
        <f t="shared" si="120"/>
        <v>0</v>
      </c>
      <c r="T88" s="22">
        <f t="shared" si="120"/>
        <v>0</v>
      </c>
      <c r="U88" s="22">
        <f t="shared" si="120"/>
        <v>69185</v>
      </c>
      <c r="V88" s="22">
        <f t="shared" si="120"/>
        <v>665073</v>
      </c>
      <c r="W88" s="22">
        <f t="shared" si="120"/>
        <v>0</v>
      </c>
      <c r="X88" s="22">
        <f t="shared" si="120"/>
        <v>398957</v>
      </c>
      <c r="Y88" s="22">
        <f t="shared" si="120"/>
        <v>165314</v>
      </c>
      <c r="Z88" s="22">
        <f t="shared" si="120"/>
        <v>98978</v>
      </c>
      <c r="AA88" s="22">
        <f t="shared" si="120"/>
        <v>1824</v>
      </c>
      <c r="AB88" s="22">
        <f t="shared" si="120"/>
        <v>0</v>
      </c>
      <c r="AC88" s="22">
        <f t="shared" si="120"/>
        <v>0</v>
      </c>
      <c r="AD88" s="22">
        <f t="shared" si="120"/>
        <v>0</v>
      </c>
      <c r="AE88" s="22">
        <f t="shared" si="120"/>
        <v>0</v>
      </c>
      <c r="AF88" s="22">
        <f t="shared" si="120"/>
        <v>7930730</v>
      </c>
      <c r="AG88" s="22">
        <f t="shared" si="120"/>
        <v>0</v>
      </c>
      <c r="AH88" s="22">
        <f t="shared" si="120"/>
        <v>7500000</v>
      </c>
      <c r="AI88" s="22">
        <f t="shared" si="120"/>
        <v>0</v>
      </c>
      <c r="AJ88" s="22">
        <f t="shared" si="120"/>
        <v>0</v>
      </c>
      <c r="AK88" s="22">
        <f t="shared" si="120"/>
        <v>0</v>
      </c>
      <c r="AL88" s="22">
        <f t="shared" si="120"/>
        <v>2345</v>
      </c>
      <c r="AM88" s="22">
        <f t="shared" si="120"/>
        <v>0</v>
      </c>
      <c r="AN88" s="22">
        <f t="shared" si="120"/>
        <v>0</v>
      </c>
      <c r="AO88" s="22">
        <f t="shared" si="120"/>
        <v>0</v>
      </c>
      <c r="AP88" s="22">
        <f t="shared" si="120"/>
        <v>0</v>
      </c>
      <c r="AQ88" s="22">
        <f t="shared" si="120"/>
        <v>0</v>
      </c>
      <c r="AR88" s="22">
        <f t="shared" ref="AR88" si="121">SUM(AR89+AR92)</f>
        <v>0</v>
      </c>
      <c r="AS88" s="22">
        <f t="shared" si="120"/>
        <v>0</v>
      </c>
      <c r="AT88" s="22">
        <f t="shared" si="120"/>
        <v>0</v>
      </c>
      <c r="AU88" s="22">
        <f t="shared" si="120"/>
        <v>0</v>
      </c>
      <c r="AV88" s="22"/>
      <c r="AW88" s="22"/>
      <c r="AX88" s="22">
        <f t="shared" si="120"/>
        <v>0</v>
      </c>
      <c r="AY88" s="22">
        <f t="shared" si="120"/>
        <v>0</v>
      </c>
      <c r="AZ88" s="22">
        <f t="shared" si="120"/>
        <v>0</v>
      </c>
      <c r="BA88" s="22">
        <f t="shared" si="120"/>
        <v>428385</v>
      </c>
      <c r="BB88" s="22">
        <f t="shared" si="120"/>
        <v>0</v>
      </c>
      <c r="BC88" s="22">
        <f t="shared" si="120"/>
        <v>17441</v>
      </c>
      <c r="BD88" s="22">
        <f t="shared" si="120"/>
        <v>0</v>
      </c>
      <c r="BE88" s="22">
        <f t="shared" si="120"/>
        <v>0</v>
      </c>
      <c r="BF88" s="22">
        <f t="shared" si="120"/>
        <v>0</v>
      </c>
      <c r="BG88" s="22">
        <f t="shared" si="120"/>
        <v>0</v>
      </c>
      <c r="BH88" s="22">
        <f t="shared" si="120"/>
        <v>0</v>
      </c>
      <c r="BI88" s="22">
        <f t="shared" si="120"/>
        <v>0</v>
      </c>
      <c r="BJ88" s="22">
        <f t="shared" si="120"/>
        <v>0</v>
      </c>
      <c r="BK88" s="22">
        <f t="shared" si="120"/>
        <v>0</v>
      </c>
      <c r="BL88" s="22">
        <f t="shared" si="120"/>
        <v>0</v>
      </c>
      <c r="BM88" s="22">
        <f t="shared" si="120"/>
        <v>0</v>
      </c>
      <c r="BN88" s="22">
        <f t="shared" si="120"/>
        <v>0</v>
      </c>
      <c r="BO88" s="22">
        <f t="shared" si="120"/>
        <v>0</v>
      </c>
      <c r="BP88" s="22">
        <f t="shared" ref="BP88" si="122">SUM(BP89+BP92)</f>
        <v>0</v>
      </c>
      <c r="BQ88" s="22">
        <f t="shared" si="120"/>
        <v>17441</v>
      </c>
      <c r="BR88" s="22">
        <f t="shared" si="120"/>
        <v>0</v>
      </c>
      <c r="BS88" s="22">
        <f t="shared" si="120"/>
        <v>0</v>
      </c>
      <c r="BT88" s="22">
        <f t="shared" si="120"/>
        <v>17441</v>
      </c>
      <c r="BU88" s="22">
        <f t="shared" si="120"/>
        <v>0</v>
      </c>
      <c r="BV88" s="22">
        <f t="shared" si="120"/>
        <v>0</v>
      </c>
      <c r="BW88" s="22">
        <f t="shared" si="120"/>
        <v>0</v>
      </c>
      <c r="BX88" s="22">
        <f t="shared" ref="BX88:CX88" si="123">SUM(BX89+BX92)</f>
        <v>0</v>
      </c>
      <c r="BY88" s="22">
        <f t="shared" si="123"/>
        <v>0</v>
      </c>
      <c r="BZ88" s="22">
        <f t="shared" si="123"/>
        <v>0</v>
      </c>
      <c r="CA88" s="22">
        <f t="shared" si="123"/>
        <v>0</v>
      </c>
      <c r="CB88" s="22">
        <f t="shared" si="123"/>
        <v>0</v>
      </c>
      <c r="CC88" s="22">
        <f t="shared" si="123"/>
        <v>0</v>
      </c>
      <c r="CD88" s="22">
        <f t="shared" si="123"/>
        <v>0</v>
      </c>
      <c r="CE88" s="22">
        <f t="shared" si="123"/>
        <v>0</v>
      </c>
      <c r="CF88" s="22">
        <f t="shared" si="123"/>
        <v>0</v>
      </c>
      <c r="CG88" s="22">
        <f t="shared" si="123"/>
        <v>0</v>
      </c>
      <c r="CH88" s="22">
        <f t="shared" si="123"/>
        <v>0</v>
      </c>
      <c r="CI88" s="22">
        <f t="shared" si="123"/>
        <v>0</v>
      </c>
      <c r="CJ88" s="22">
        <f t="shared" si="123"/>
        <v>0</v>
      </c>
      <c r="CK88" s="22">
        <f t="shared" si="123"/>
        <v>0</v>
      </c>
      <c r="CL88" s="22">
        <f t="shared" si="123"/>
        <v>0</v>
      </c>
      <c r="CM88" s="22">
        <f t="shared" si="123"/>
        <v>0</v>
      </c>
      <c r="CN88" s="22">
        <f t="shared" si="123"/>
        <v>0</v>
      </c>
      <c r="CO88" s="22">
        <f t="shared" si="123"/>
        <v>0</v>
      </c>
      <c r="CP88" s="22"/>
      <c r="CQ88" s="22">
        <f t="shared" si="123"/>
        <v>0</v>
      </c>
      <c r="CR88" s="22">
        <f t="shared" si="123"/>
        <v>0</v>
      </c>
      <c r="CS88" s="22">
        <f t="shared" si="123"/>
        <v>0</v>
      </c>
      <c r="CT88" s="22">
        <f t="shared" si="123"/>
        <v>0</v>
      </c>
      <c r="CU88" s="22">
        <f t="shared" si="123"/>
        <v>0</v>
      </c>
      <c r="CV88" s="22">
        <f t="shared" si="123"/>
        <v>0</v>
      </c>
      <c r="CW88" s="22">
        <f t="shared" si="123"/>
        <v>0</v>
      </c>
      <c r="CX88" s="23">
        <f t="shared" si="123"/>
        <v>0</v>
      </c>
    </row>
    <row r="89" spans="1:102" ht="15.75" x14ac:dyDescent="0.25">
      <c r="A89" s="7"/>
      <c r="B89" s="8" t="s">
        <v>200</v>
      </c>
      <c r="C89" s="8" t="s">
        <v>1</v>
      </c>
      <c r="D89" s="9" t="s">
        <v>201</v>
      </c>
      <c r="E89" s="10">
        <f t="shared" ref="E89:AL89" si="124">SUM(E90:E91)</f>
        <v>10794733</v>
      </c>
      <c r="F89" s="11">
        <f t="shared" si="124"/>
        <v>10794733</v>
      </c>
      <c r="G89" s="11">
        <f t="shared" si="124"/>
        <v>10777292</v>
      </c>
      <c r="H89" s="11">
        <f t="shared" si="124"/>
        <v>7711237</v>
      </c>
      <c r="I89" s="11">
        <f t="shared" si="124"/>
        <v>1865485</v>
      </c>
      <c r="J89" s="11">
        <f t="shared" si="124"/>
        <v>35497</v>
      </c>
      <c r="K89" s="11">
        <f t="shared" si="124"/>
        <v>0</v>
      </c>
      <c r="L89" s="11">
        <f t="shared" si="124"/>
        <v>0</v>
      </c>
      <c r="M89" s="11">
        <f t="shared" si="124"/>
        <v>0</v>
      </c>
      <c r="N89" s="11">
        <f t="shared" si="124"/>
        <v>0</v>
      </c>
      <c r="O89" s="11">
        <f t="shared" si="124"/>
        <v>35497</v>
      </c>
      <c r="P89" s="11">
        <f t="shared" si="124"/>
        <v>0</v>
      </c>
      <c r="Q89" s="11">
        <f t="shared" si="124"/>
        <v>85</v>
      </c>
      <c r="R89" s="11">
        <f t="shared" si="124"/>
        <v>85</v>
      </c>
      <c r="S89" s="11">
        <f t="shared" si="124"/>
        <v>0</v>
      </c>
      <c r="T89" s="11">
        <f t="shared" si="124"/>
        <v>0</v>
      </c>
      <c r="U89" s="11">
        <f t="shared" si="124"/>
        <v>69185</v>
      </c>
      <c r="V89" s="11">
        <f t="shared" si="124"/>
        <v>665073</v>
      </c>
      <c r="W89" s="11">
        <f t="shared" si="124"/>
        <v>0</v>
      </c>
      <c r="X89" s="11">
        <f t="shared" si="124"/>
        <v>398957</v>
      </c>
      <c r="Y89" s="11">
        <f t="shared" si="124"/>
        <v>165314</v>
      </c>
      <c r="Z89" s="11">
        <f t="shared" si="124"/>
        <v>98978</v>
      </c>
      <c r="AA89" s="11">
        <f t="shared" si="124"/>
        <v>1824</v>
      </c>
      <c r="AB89" s="11">
        <f t="shared" si="124"/>
        <v>0</v>
      </c>
      <c r="AC89" s="11">
        <f t="shared" si="124"/>
        <v>0</v>
      </c>
      <c r="AD89" s="11">
        <f t="shared" ref="AD89:AE89" si="125">SUM(AD90:AD91)</f>
        <v>0</v>
      </c>
      <c r="AE89" s="11">
        <f t="shared" si="125"/>
        <v>0</v>
      </c>
      <c r="AF89" s="11">
        <f t="shared" si="124"/>
        <v>430730</v>
      </c>
      <c r="AG89" s="11">
        <f t="shared" si="124"/>
        <v>0</v>
      </c>
      <c r="AH89" s="11">
        <f t="shared" ref="AH89" si="126">SUM(AH90:AH91)</f>
        <v>0</v>
      </c>
      <c r="AI89" s="11">
        <f t="shared" si="124"/>
        <v>0</v>
      </c>
      <c r="AJ89" s="11">
        <f t="shared" si="124"/>
        <v>0</v>
      </c>
      <c r="AK89" s="11">
        <f t="shared" si="124"/>
        <v>0</v>
      </c>
      <c r="AL89" s="11">
        <f t="shared" si="124"/>
        <v>2345</v>
      </c>
      <c r="AM89" s="11">
        <f t="shared" ref="AM89:CX89" si="127">SUM(AM90:AM91)</f>
        <v>0</v>
      </c>
      <c r="AN89" s="11">
        <f t="shared" si="127"/>
        <v>0</v>
      </c>
      <c r="AO89" s="11">
        <f t="shared" si="127"/>
        <v>0</v>
      </c>
      <c r="AP89" s="11">
        <f t="shared" si="127"/>
        <v>0</v>
      </c>
      <c r="AQ89" s="11">
        <f t="shared" si="127"/>
        <v>0</v>
      </c>
      <c r="AR89" s="11">
        <f t="shared" ref="AR89" si="128">SUM(AR90:AR91)</f>
        <v>0</v>
      </c>
      <c r="AS89" s="11">
        <f t="shared" si="127"/>
        <v>0</v>
      </c>
      <c r="AT89" s="11">
        <f t="shared" si="127"/>
        <v>0</v>
      </c>
      <c r="AU89" s="11">
        <f t="shared" si="127"/>
        <v>0</v>
      </c>
      <c r="AV89" s="11"/>
      <c r="AW89" s="11"/>
      <c r="AX89" s="11">
        <f t="shared" si="127"/>
        <v>0</v>
      </c>
      <c r="AY89" s="11">
        <f t="shared" si="127"/>
        <v>0</v>
      </c>
      <c r="AZ89" s="11">
        <f t="shared" si="127"/>
        <v>0</v>
      </c>
      <c r="BA89" s="11">
        <f t="shared" si="127"/>
        <v>428385</v>
      </c>
      <c r="BB89" s="11">
        <f t="shared" si="127"/>
        <v>0</v>
      </c>
      <c r="BC89" s="11">
        <f t="shared" si="127"/>
        <v>17441</v>
      </c>
      <c r="BD89" s="11">
        <f t="shared" si="127"/>
        <v>0</v>
      </c>
      <c r="BE89" s="11">
        <f t="shared" si="127"/>
        <v>0</v>
      </c>
      <c r="BF89" s="11">
        <f t="shared" si="127"/>
        <v>0</v>
      </c>
      <c r="BG89" s="11">
        <f t="shared" si="127"/>
        <v>0</v>
      </c>
      <c r="BH89" s="11">
        <f t="shared" si="127"/>
        <v>0</v>
      </c>
      <c r="BI89" s="11">
        <f t="shared" si="127"/>
        <v>0</v>
      </c>
      <c r="BJ89" s="11">
        <f t="shared" si="127"/>
        <v>0</v>
      </c>
      <c r="BK89" s="11">
        <f t="shared" si="127"/>
        <v>0</v>
      </c>
      <c r="BL89" s="11">
        <f t="shared" si="127"/>
        <v>0</v>
      </c>
      <c r="BM89" s="11">
        <f t="shared" si="127"/>
        <v>0</v>
      </c>
      <c r="BN89" s="11">
        <f t="shared" si="127"/>
        <v>0</v>
      </c>
      <c r="BO89" s="11">
        <f t="shared" si="127"/>
        <v>0</v>
      </c>
      <c r="BP89" s="11">
        <f t="shared" ref="BP89" si="129">SUM(BP90:BP91)</f>
        <v>0</v>
      </c>
      <c r="BQ89" s="11">
        <f t="shared" si="127"/>
        <v>17441</v>
      </c>
      <c r="BR89" s="11">
        <f t="shared" si="127"/>
        <v>0</v>
      </c>
      <c r="BS89" s="11">
        <f t="shared" si="127"/>
        <v>0</v>
      </c>
      <c r="BT89" s="11">
        <f t="shared" si="127"/>
        <v>17441</v>
      </c>
      <c r="BU89" s="11">
        <f t="shared" si="127"/>
        <v>0</v>
      </c>
      <c r="BV89" s="11">
        <f t="shared" si="127"/>
        <v>0</v>
      </c>
      <c r="BW89" s="11">
        <f t="shared" si="127"/>
        <v>0</v>
      </c>
      <c r="BX89" s="11">
        <f t="shared" si="127"/>
        <v>0</v>
      </c>
      <c r="BY89" s="11">
        <f t="shared" si="127"/>
        <v>0</v>
      </c>
      <c r="BZ89" s="11">
        <f t="shared" si="127"/>
        <v>0</v>
      </c>
      <c r="CA89" s="11">
        <f t="shared" si="127"/>
        <v>0</v>
      </c>
      <c r="CB89" s="11">
        <f t="shared" si="127"/>
        <v>0</v>
      </c>
      <c r="CC89" s="11">
        <f t="shared" si="127"/>
        <v>0</v>
      </c>
      <c r="CD89" s="11">
        <f t="shared" si="127"/>
        <v>0</v>
      </c>
      <c r="CE89" s="11">
        <f t="shared" si="127"/>
        <v>0</v>
      </c>
      <c r="CF89" s="11">
        <f t="shared" si="127"/>
        <v>0</v>
      </c>
      <c r="CG89" s="11">
        <f t="shared" si="127"/>
        <v>0</v>
      </c>
      <c r="CH89" s="11">
        <f t="shared" si="127"/>
        <v>0</v>
      </c>
      <c r="CI89" s="11">
        <f t="shared" si="127"/>
        <v>0</v>
      </c>
      <c r="CJ89" s="11">
        <f t="shared" si="127"/>
        <v>0</v>
      </c>
      <c r="CK89" s="11">
        <f t="shared" si="127"/>
        <v>0</v>
      </c>
      <c r="CL89" s="11">
        <f t="shared" si="127"/>
        <v>0</v>
      </c>
      <c r="CM89" s="11">
        <f t="shared" si="127"/>
        <v>0</v>
      </c>
      <c r="CN89" s="11">
        <f t="shared" si="127"/>
        <v>0</v>
      </c>
      <c r="CO89" s="11">
        <f t="shared" si="127"/>
        <v>0</v>
      </c>
      <c r="CP89" s="11"/>
      <c r="CQ89" s="11">
        <f t="shared" si="127"/>
        <v>0</v>
      </c>
      <c r="CR89" s="11">
        <f t="shared" si="127"/>
        <v>0</v>
      </c>
      <c r="CS89" s="11">
        <f t="shared" si="127"/>
        <v>0</v>
      </c>
      <c r="CT89" s="11">
        <f t="shared" si="127"/>
        <v>0</v>
      </c>
      <c r="CU89" s="11">
        <f t="shared" si="127"/>
        <v>0</v>
      </c>
      <c r="CV89" s="11">
        <f t="shared" si="127"/>
        <v>0</v>
      </c>
      <c r="CW89" s="11">
        <f t="shared" si="127"/>
        <v>0</v>
      </c>
      <c r="CX89" s="12">
        <f t="shared" si="127"/>
        <v>0</v>
      </c>
    </row>
    <row r="90" spans="1:102" ht="31.5" x14ac:dyDescent="0.25">
      <c r="A90" s="13"/>
      <c r="B90" s="14" t="s">
        <v>1</v>
      </c>
      <c r="C90" s="14" t="s">
        <v>94</v>
      </c>
      <c r="D90" s="15" t="s">
        <v>202</v>
      </c>
      <c r="E90" s="10">
        <f>SUM(F90+CC90+CU90)</f>
        <v>8725045</v>
      </c>
      <c r="F90" s="11">
        <f>SUM(G90+BC90)</f>
        <v>8725045</v>
      </c>
      <c r="G90" s="11">
        <f>SUM(H90+I90+J90+Q90+T90+U90+V90+AF90+AE90)</f>
        <v>8707604</v>
      </c>
      <c r="H90" s="16">
        <f>5955229+158806</f>
        <v>6114035</v>
      </c>
      <c r="I90" s="16">
        <f>1459814+39702</f>
        <v>1499516</v>
      </c>
      <c r="J90" s="11">
        <f>SUM(K90:P90)</f>
        <v>0</v>
      </c>
      <c r="K90" s="11">
        <v>0</v>
      </c>
      <c r="L90" s="11">
        <v>0</v>
      </c>
      <c r="M90" s="11">
        <v>0</v>
      </c>
      <c r="N90" s="11">
        <v>0</v>
      </c>
      <c r="O90" s="11"/>
      <c r="P90" s="11"/>
      <c r="Q90" s="11">
        <f t="shared" si="99"/>
        <v>0</v>
      </c>
      <c r="R90" s="11">
        <v>0</v>
      </c>
      <c r="S90" s="11">
        <v>0</v>
      </c>
      <c r="T90" s="11">
        <v>0</v>
      </c>
      <c r="U90" s="16">
        <v>38273</v>
      </c>
      <c r="V90" s="11">
        <f t="shared" ref="V90:V91" si="130">SUM(W90:AD90)</f>
        <v>656675</v>
      </c>
      <c r="W90" s="16"/>
      <c r="X90" s="16">
        <v>398957</v>
      </c>
      <c r="Y90" s="16">
        <v>156916</v>
      </c>
      <c r="Z90" s="16">
        <v>98978</v>
      </c>
      <c r="AA90" s="16">
        <v>1824</v>
      </c>
      <c r="AB90" s="16"/>
      <c r="AC90" s="16"/>
      <c r="AD90" s="16"/>
      <c r="AE90" s="11">
        <v>0</v>
      </c>
      <c r="AF90" s="11">
        <f>SUM(AG90:BB90)</f>
        <v>399105</v>
      </c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1">
        <v>0</v>
      </c>
      <c r="AV90" s="11"/>
      <c r="AW90" s="11"/>
      <c r="AX90" s="11">
        <v>0</v>
      </c>
      <c r="AY90" s="11">
        <v>0</v>
      </c>
      <c r="AZ90" s="11">
        <v>0</v>
      </c>
      <c r="BA90" s="16">
        <v>399105</v>
      </c>
      <c r="BB90" s="11">
        <v>0</v>
      </c>
      <c r="BC90" s="11">
        <f>SUM(BD90+BH90+BL90+BN90+BQ90)</f>
        <v>17441</v>
      </c>
      <c r="BD90" s="11">
        <f>SUM(BE90:BG90)</f>
        <v>0</v>
      </c>
      <c r="BE90" s="11">
        <v>0</v>
      </c>
      <c r="BF90" s="11">
        <v>0</v>
      </c>
      <c r="BG90" s="11">
        <v>0</v>
      </c>
      <c r="BH90" s="11">
        <f t="shared" si="100"/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v>0</v>
      </c>
      <c r="BN90" s="11">
        <f t="shared" si="101"/>
        <v>0</v>
      </c>
      <c r="BO90" s="11">
        <v>0</v>
      </c>
      <c r="BP90" s="11">
        <v>0</v>
      </c>
      <c r="BQ90" s="11">
        <f t="shared" si="102"/>
        <v>17441</v>
      </c>
      <c r="BR90" s="11">
        <v>0</v>
      </c>
      <c r="BS90" s="11">
        <v>0</v>
      </c>
      <c r="BT90" s="11">
        <v>17441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v>0</v>
      </c>
      <c r="CC90" s="11">
        <f>SUM(CD90+CT90)</f>
        <v>0</v>
      </c>
      <c r="CD90" s="11">
        <f>SUM(CE90+CH90+CM90)</f>
        <v>0</v>
      </c>
      <c r="CE90" s="11">
        <f t="shared" si="103"/>
        <v>0</v>
      </c>
      <c r="CF90" s="11">
        <v>0</v>
      </c>
      <c r="CG90" s="11">
        <v>0</v>
      </c>
      <c r="CH90" s="11">
        <f>SUM(CI90:CL90)</f>
        <v>0</v>
      </c>
      <c r="CI90" s="11">
        <v>0</v>
      </c>
      <c r="CJ90" s="11">
        <v>0</v>
      </c>
      <c r="CK90" s="11">
        <v>0</v>
      </c>
      <c r="CL90" s="11">
        <v>0</v>
      </c>
      <c r="CM90" s="11">
        <f>SUM(CN90:CQ90)</f>
        <v>0</v>
      </c>
      <c r="CN90" s="11">
        <v>0</v>
      </c>
      <c r="CO90" s="11">
        <v>0</v>
      </c>
      <c r="CP90" s="11"/>
      <c r="CQ90" s="11">
        <v>0</v>
      </c>
      <c r="CR90" s="11">
        <v>0</v>
      </c>
      <c r="CS90" s="11">
        <v>0</v>
      </c>
      <c r="CT90" s="11">
        <v>0</v>
      </c>
      <c r="CU90" s="11">
        <f t="shared" si="104"/>
        <v>0</v>
      </c>
      <c r="CV90" s="11">
        <f t="shared" si="105"/>
        <v>0</v>
      </c>
      <c r="CW90" s="11">
        <v>0</v>
      </c>
      <c r="CX90" s="12">
        <v>0</v>
      </c>
    </row>
    <row r="91" spans="1:102" ht="31.5" x14ac:dyDescent="0.25">
      <c r="A91" s="13"/>
      <c r="B91" s="14" t="s">
        <v>1</v>
      </c>
      <c r="C91" s="14" t="s">
        <v>106</v>
      </c>
      <c r="D91" s="15" t="s">
        <v>203</v>
      </c>
      <c r="E91" s="10">
        <f>SUM(F91+CC91+CU91)</f>
        <v>2069688</v>
      </c>
      <c r="F91" s="11">
        <f>SUM(G91+BC91)</f>
        <v>2069688</v>
      </c>
      <c r="G91" s="11">
        <f>SUM(H91+I91+J91+Q91+T91+U91+V91+AF91+AE91)</f>
        <v>2069688</v>
      </c>
      <c r="H91" s="16">
        <f>1516331+80871</f>
        <v>1597202</v>
      </c>
      <c r="I91" s="16">
        <f>345751+20218</f>
        <v>365969</v>
      </c>
      <c r="J91" s="11">
        <f>SUM(K91:P91)</f>
        <v>35497</v>
      </c>
      <c r="K91" s="11">
        <v>0</v>
      </c>
      <c r="L91" s="11">
        <v>0</v>
      </c>
      <c r="M91" s="11">
        <v>0</v>
      </c>
      <c r="N91" s="11">
        <v>0</v>
      </c>
      <c r="O91" s="11">
        <v>35497</v>
      </c>
      <c r="P91" s="11"/>
      <c r="Q91" s="11">
        <f t="shared" si="99"/>
        <v>85</v>
      </c>
      <c r="R91" s="11">
        <v>85</v>
      </c>
      <c r="S91" s="11">
        <v>0</v>
      </c>
      <c r="T91" s="11">
        <v>0</v>
      </c>
      <c r="U91" s="16">
        <v>30912</v>
      </c>
      <c r="V91" s="11">
        <f t="shared" si="130"/>
        <v>8398</v>
      </c>
      <c r="W91" s="16"/>
      <c r="X91" s="16"/>
      <c r="Y91" s="16">
        <f>7863+535</f>
        <v>8398</v>
      </c>
      <c r="Z91" s="16"/>
      <c r="AA91" s="16"/>
      <c r="AB91" s="16"/>
      <c r="AC91" s="16"/>
      <c r="AD91" s="16">
        <f>91-91</f>
        <v>0</v>
      </c>
      <c r="AE91" s="11"/>
      <c r="AF91" s="11">
        <f>SUM(AG91:BB91)</f>
        <v>31625</v>
      </c>
      <c r="AG91" s="16"/>
      <c r="AH91" s="16"/>
      <c r="AI91" s="16"/>
      <c r="AJ91" s="16"/>
      <c r="AK91" s="16"/>
      <c r="AL91" s="16">
        <v>2345</v>
      </c>
      <c r="AM91" s="16"/>
      <c r="AN91" s="16"/>
      <c r="AO91" s="16"/>
      <c r="AP91" s="16"/>
      <c r="AQ91" s="16"/>
      <c r="AR91" s="16"/>
      <c r="AS91" s="16"/>
      <c r="AT91" s="16"/>
      <c r="AU91" s="11">
        <v>0</v>
      </c>
      <c r="AV91" s="11"/>
      <c r="AW91" s="11"/>
      <c r="AX91" s="11">
        <v>0</v>
      </c>
      <c r="AY91" s="11">
        <v>0</v>
      </c>
      <c r="AZ91" s="11">
        <v>0</v>
      </c>
      <c r="BA91" s="16">
        <v>29280</v>
      </c>
      <c r="BB91" s="11">
        <v>0</v>
      </c>
      <c r="BC91" s="11">
        <f>SUM(BD91+BH91+BL91+BN91+BQ91)</f>
        <v>0</v>
      </c>
      <c r="BD91" s="11">
        <f>SUM(BE91:BG91)</f>
        <v>0</v>
      </c>
      <c r="BE91" s="11">
        <v>0</v>
      </c>
      <c r="BF91" s="11">
        <v>0</v>
      </c>
      <c r="BG91" s="11">
        <v>0</v>
      </c>
      <c r="BH91" s="11">
        <f t="shared" si="100"/>
        <v>0</v>
      </c>
      <c r="BI91" s="11">
        <v>0</v>
      </c>
      <c r="BJ91" s="11">
        <v>0</v>
      </c>
      <c r="BK91" s="11">
        <v>0</v>
      </c>
      <c r="BL91" s="11">
        <v>0</v>
      </c>
      <c r="BM91" s="11">
        <v>0</v>
      </c>
      <c r="BN91" s="11">
        <f t="shared" si="101"/>
        <v>0</v>
      </c>
      <c r="BO91" s="11">
        <v>0</v>
      </c>
      <c r="BP91" s="11">
        <v>0</v>
      </c>
      <c r="BQ91" s="11">
        <f t="shared" si="102"/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v>0</v>
      </c>
      <c r="BW91" s="11"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v>0</v>
      </c>
      <c r="CC91" s="11">
        <f>SUM(CD91+CT91)</f>
        <v>0</v>
      </c>
      <c r="CD91" s="11">
        <f>SUM(CE91+CH91+CM91)</f>
        <v>0</v>
      </c>
      <c r="CE91" s="11">
        <f t="shared" si="103"/>
        <v>0</v>
      </c>
      <c r="CF91" s="11">
        <v>0</v>
      </c>
      <c r="CG91" s="11"/>
      <c r="CH91" s="11">
        <f>SUM(CI91:CL91)</f>
        <v>0</v>
      </c>
      <c r="CI91" s="11">
        <v>0</v>
      </c>
      <c r="CJ91" s="11">
        <v>0</v>
      </c>
      <c r="CK91" s="11">
        <v>0</v>
      </c>
      <c r="CL91" s="11">
        <v>0</v>
      </c>
      <c r="CM91" s="11">
        <f>SUM(CN91:CQ91)</f>
        <v>0</v>
      </c>
      <c r="CN91" s="11">
        <v>0</v>
      </c>
      <c r="CO91" s="11">
        <v>0</v>
      </c>
      <c r="CP91" s="11"/>
      <c r="CQ91" s="11">
        <v>0</v>
      </c>
      <c r="CR91" s="11">
        <v>0</v>
      </c>
      <c r="CS91" s="11">
        <v>0</v>
      </c>
      <c r="CT91" s="11">
        <v>0</v>
      </c>
      <c r="CU91" s="11">
        <f t="shared" si="104"/>
        <v>0</v>
      </c>
      <c r="CV91" s="11">
        <f t="shared" si="105"/>
        <v>0</v>
      </c>
      <c r="CW91" s="11">
        <v>0</v>
      </c>
      <c r="CX91" s="12">
        <v>0</v>
      </c>
    </row>
    <row r="92" spans="1:102" ht="31.5" x14ac:dyDescent="0.25">
      <c r="A92" s="7"/>
      <c r="B92" s="8" t="s">
        <v>204</v>
      </c>
      <c r="C92" s="8" t="s">
        <v>1</v>
      </c>
      <c r="D92" s="9" t="s">
        <v>205</v>
      </c>
      <c r="E92" s="10">
        <f t="shared" ref="E92:BQ92" si="131">SUM(E93:E99)</f>
        <v>7856305</v>
      </c>
      <c r="F92" s="11">
        <f t="shared" si="131"/>
        <v>7856305</v>
      </c>
      <c r="G92" s="11">
        <f t="shared" si="131"/>
        <v>7856305</v>
      </c>
      <c r="H92" s="11">
        <f t="shared" si="131"/>
        <v>289104</v>
      </c>
      <c r="I92" s="11">
        <f t="shared" si="131"/>
        <v>67201</v>
      </c>
      <c r="J92" s="11">
        <f t="shared" si="131"/>
        <v>0</v>
      </c>
      <c r="K92" s="11">
        <f t="shared" si="131"/>
        <v>0</v>
      </c>
      <c r="L92" s="11">
        <f t="shared" si="131"/>
        <v>0</v>
      </c>
      <c r="M92" s="11">
        <f t="shared" si="131"/>
        <v>0</v>
      </c>
      <c r="N92" s="11">
        <f t="shared" si="131"/>
        <v>0</v>
      </c>
      <c r="O92" s="11">
        <f t="shared" si="131"/>
        <v>0</v>
      </c>
      <c r="P92" s="11">
        <f t="shared" si="131"/>
        <v>0</v>
      </c>
      <c r="Q92" s="11">
        <f t="shared" si="131"/>
        <v>0</v>
      </c>
      <c r="R92" s="11">
        <f t="shared" si="131"/>
        <v>0</v>
      </c>
      <c r="S92" s="11">
        <f t="shared" si="131"/>
        <v>0</v>
      </c>
      <c r="T92" s="11">
        <f t="shared" si="131"/>
        <v>0</v>
      </c>
      <c r="U92" s="11">
        <f t="shared" si="131"/>
        <v>0</v>
      </c>
      <c r="V92" s="11">
        <f t="shared" si="131"/>
        <v>0</v>
      </c>
      <c r="W92" s="11">
        <f t="shared" si="131"/>
        <v>0</v>
      </c>
      <c r="X92" s="11">
        <f t="shared" si="131"/>
        <v>0</v>
      </c>
      <c r="Y92" s="11">
        <f t="shared" si="131"/>
        <v>0</v>
      </c>
      <c r="Z92" s="11">
        <f t="shared" si="131"/>
        <v>0</v>
      </c>
      <c r="AA92" s="11">
        <f t="shared" si="131"/>
        <v>0</v>
      </c>
      <c r="AB92" s="11">
        <f t="shared" si="131"/>
        <v>0</v>
      </c>
      <c r="AC92" s="11">
        <f t="shared" si="131"/>
        <v>0</v>
      </c>
      <c r="AD92" s="11">
        <f t="shared" si="131"/>
        <v>0</v>
      </c>
      <c r="AE92" s="11">
        <f t="shared" si="131"/>
        <v>0</v>
      </c>
      <c r="AF92" s="11">
        <f t="shared" si="131"/>
        <v>7500000</v>
      </c>
      <c r="AG92" s="11">
        <f t="shared" si="131"/>
        <v>0</v>
      </c>
      <c r="AH92" s="11">
        <f t="shared" si="131"/>
        <v>7500000</v>
      </c>
      <c r="AI92" s="11">
        <f t="shared" si="131"/>
        <v>0</v>
      </c>
      <c r="AJ92" s="11">
        <f t="shared" si="131"/>
        <v>0</v>
      </c>
      <c r="AK92" s="11">
        <f t="shared" si="131"/>
        <v>0</v>
      </c>
      <c r="AL92" s="11">
        <f t="shared" si="131"/>
        <v>0</v>
      </c>
      <c r="AM92" s="11">
        <f t="shared" si="131"/>
        <v>0</v>
      </c>
      <c r="AN92" s="11">
        <f t="shared" si="131"/>
        <v>0</v>
      </c>
      <c r="AO92" s="11">
        <f t="shared" si="131"/>
        <v>0</v>
      </c>
      <c r="AP92" s="11">
        <f t="shared" si="131"/>
        <v>0</v>
      </c>
      <c r="AQ92" s="11">
        <f t="shared" si="131"/>
        <v>0</v>
      </c>
      <c r="AR92" s="11">
        <f t="shared" ref="AR92" si="132">SUM(AR93:AR99)</f>
        <v>0</v>
      </c>
      <c r="AS92" s="11">
        <f t="shared" si="131"/>
        <v>0</v>
      </c>
      <c r="AT92" s="11">
        <f t="shared" si="131"/>
        <v>0</v>
      </c>
      <c r="AU92" s="11">
        <f t="shared" si="131"/>
        <v>0</v>
      </c>
      <c r="AV92" s="11"/>
      <c r="AW92" s="11"/>
      <c r="AX92" s="11">
        <f t="shared" si="131"/>
        <v>0</v>
      </c>
      <c r="AY92" s="11">
        <f t="shared" si="131"/>
        <v>0</v>
      </c>
      <c r="AZ92" s="11">
        <f t="shared" si="131"/>
        <v>0</v>
      </c>
      <c r="BA92" s="11">
        <f t="shared" si="131"/>
        <v>0</v>
      </c>
      <c r="BB92" s="11">
        <f t="shared" si="131"/>
        <v>0</v>
      </c>
      <c r="BC92" s="11">
        <f t="shared" si="131"/>
        <v>0</v>
      </c>
      <c r="BD92" s="11">
        <f t="shared" si="131"/>
        <v>0</v>
      </c>
      <c r="BE92" s="11">
        <f t="shared" si="131"/>
        <v>0</v>
      </c>
      <c r="BF92" s="11">
        <f t="shared" si="131"/>
        <v>0</v>
      </c>
      <c r="BG92" s="11">
        <f t="shared" si="131"/>
        <v>0</v>
      </c>
      <c r="BH92" s="11">
        <f t="shared" si="131"/>
        <v>0</v>
      </c>
      <c r="BI92" s="11">
        <f t="shared" si="131"/>
        <v>0</v>
      </c>
      <c r="BJ92" s="11">
        <f t="shared" si="131"/>
        <v>0</v>
      </c>
      <c r="BK92" s="11">
        <f t="shared" si="131"/>
        <v>0</v>
      </c>
      <c r="BL92" s="11">
        <f t="shared" si="131"/>
        <v>0</v>
      </c>
      <c r="BM92" s="11">
        <f t="shared" si="131"/>
        <v>0</v>
      </c>
      <c r="BN92" s="11">
        <f t="shared" si="131"/>
        <v>0</v>
      </c>
      <c r="BO92" s="11">
        <f t="shared" si="131"/>
        <v>0</v>
      </c>
      <c r="BP92" s="11">
        <f t="shared" ref="BP92" si="133">SUM(BP93:BP99)</f>
        <v>0</v>
      </c>
      <c r="BQ92" s="11">
        <f t="shared" si="131"/>
        <v>0</v>
      </c>
      <c r="BR92" s="11">
        <f t="shared" ref="BR92:CX92" si="134">SUM(BR93:BR99)</f>
        <v>0</v>
      </c>
      <c r="BS92" s="11">
        <f t="shared" si="134"/>
        <v>0</v>
      </c>
      <c r="BT92" s="11">
        <f t="shared" si="134"/>
        <v>0</v>
      </c>
      <c r="BU92" s="11">
        <f t="shared" si="134"/>
        <v>0</v>
      </c>
      <c r="BV92" s="11">
        <f t="shared" si="134"/>
        <v>0</v>
      </c>
      <c r="BW92" s="11">
        <f t="shared" si="134"/>
        <v>0</v>
      </c>
      <c r="BX92" s="11">
        <f t="shared" si="134"/>
        <v>0</v>
      </c>
      <c r="BY92" s="11">
        <f t="shared" si="134"/>
        <v>0</v>
      </c>
      <c r="BZ92" s="11">
        <f t="shared" si="134"/>
        <v>0</v>
      </c>
      <c r="CA92" s="11">
        <f t="shared" si="134"/>
        <v>0</v>
      </c>
      <c r="CB92" s="11">
        <f t="shared" si="134"/>
        <v>0</v>
      </c>
      <c r="CC92" s="11">
        <f t="shared" si="134"/>
        <v>0</v>
      </c>
      <c r="CD92" s="11">
        <f t="shared" si="134"/>
        <v>0</v>
      </c>
      <c r="CE92" s="11">
        <f t="shared" si="134"/>
        <v>0</v>
      </c>
      <c r="CF92" s="11">
        <f t="shared" si="134"/>
        <v>0</v>
      </c>
      <c r="CG92" s="11">
        <f t="shared" si="134"/>
        <v>0</v>
      </c>
      <c r="CH92" s="11">
        <f t="shared" si="134"/>
        <v>0</v>
      </c>
      <c r="CI92" s="11">
        <f t="shared" si="134"/>
        <v>0</v>
      </c>
      <c r="CJ92" s="11">
        <f t="shared" si="134"/>
        <v>0</v>
      </c>
      <c r="CK92" s="11">
        <f t="shared" si="134"/>
        <v>0</v>
      </c>
      <c r="CL92" s="11">
        <f t="shared" si="134"/>
        <v>0</v>
      </c>
      <c r="CM92" s="11">
        <f t="shared" si="134"/>
        <v>0</v>
      </c>
      <c r="CN92" s="11">
        <f t="shared" si="134"/>
        <v>0</v>
      </c>
      <c r="CO92" s="11">
        <f t="shared" si="134"/>
        <v>0</v>
      </c>
      <c r="CP92" s="11"/>
      <c r="CQ92" s="11">
        <f t="shared" si="134"/>
        <v>0</v>
      </c>
      <c r="CR92" s="11">
        <f t="shared" si="134"/>
        <v>0</v>
      </c>
      <c r="CS92" s="11">
        <f t="shared" si="134"/>
        <v>0</v>
      </c>
      <c r="CT92" s="11">
        <f t="shared" si="134"/>
        <v>0</v>
      </c>
      <c r="CU92" s="11">
        <f t="shared" si="134"/>
        <v>0</v>
      </c>
      <c r="CV92" s="11">
        <f t="shared" si="134"/>
        <v>0</v>
      </c>
      <c r="CW92" s="11">
        <f t="shared" si="134"/>
        <v>0</v>
      </c>
      <c r="CX92" s="12">
        <f t="shared" si="134"/>
        <v>0</v>
      </c>
    </row>
    <row r="93" spans="1:102" ht="15.75" x14ac:dyDescent="0.25">
      <c r="A93" s="13" t="s">
        <v>1</v>
      </c>
      <c r="B93" s="14" t="s">
        <v>1</v>
      </c>
      <c r="C93" s="14" t="s">
        <v>86</v>
      </c>
      <c r="D93" s="15" t="s">
        <v>446</v>
      </c>
      <c r="E93" s="10">
        <f t="shared" ref="E93:E99" si="135">SUM(F93+CC93+CU93)</f>
        <v>888235</v>
      </c>
      <c r="F93" s="11">
        <f t="shared" ref="F93:F99" si="136">SUM(G93+BC93)</f>
        <v>888235</v>
      </c>
      <c r="G93" s="11">
        <f t="shared" ref="G93:G99" si="137">SUM(H93+I93+J93+Q93+T93+U93+V93+AF93+AE93)</f>
        <v>888235</v>
      </c>
      <c r="H93" s="11">
        <v>0</v>
      </c>
      <c r="I93" s="11">
        <v>0</v>
      </c>
      <c r="J93" s="11">
        <f t="shared" ref="J93:J99" si="138">SUM(K93:P93)</f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f>SUM(R93:S93)</f>
        <v>0</v>
      </c>
      <c r="R93" s="11">
        <v>0</v>
      </c>
      <c r="S93" s="11">
        <v>0</v>
      </c>
      <c r="T93" s="11">
        <v>0</v>
      </c>
      <c r="U93" s="11">
        <v>0</v>
      </c>
      <c r="V93" s="11">
        <f t="shared" ref="V93:V99" si="139">SUM(W93:AD93)</f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f t="shared" ref="AF93:AF99" si="140">SUM(AG93:BB93)</f>
        <v>888235</v>
      </c>
      <c r="AG93" s="16"/>
      <c r="AH93" s="16">
        <v>888235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v>0</v>
      </c>
      <c r="AU93" s="11">
        <v>0</v>
      </c>
      <c r="AV93" s="11"/>
      <c r="AW93" s="11"/>
      <c r="AX93" s="11">
        <v>0</v>
      </c>
      <c r="AY93" s="11">
        <v>0</v>
      </c>
      <c r="AZ93" s="11">
        <v>0</v>
      </c>
      <c r="BA93" s="11">
        <v>0</v>
      </c>
      <c r="BB93" s="11">
        <v>0</v>
      </c>
      <c r="BC93" s="11">
        <f t="shared" ref="BC93:BC99" si="141">SUM(BD93+BH93+BL93+BN93+BQ93)</f>
        <v>0</v>
      </c>
      <c r="BD93" s="11">
        <f t="shared" ref="BD93:BD99" si="142">SUM(BE93:BG93)</f>
        <v>0</v>
      </c>
      <c r="BE93" s="11">
        <v>0</v>
      </c>
      <c r="BF93" s="11">
        <v>0</v>
      </c>
      <c r="BG93" s="11">
        <v>0</v>
      </c>
      <c r="BH93" s="11">
        <f>SUM(BJ93:BK93)</f>
        <v>0</v>
      </c>
      <c r="BI93" s="11">
        <v>0</v>
      </c>
      <c r="BJ93" s="11">
        <v>0</v>
      </c>
      <c r="BK93" s="11">
        <v>0</v>
      </c>
      <c r="BL93" s="11">
        <v>0</v>
      </c>
      <c r="BM93" s="11">
        <v>0</v>
      </c>
      <c r="BN93" s="11">
        <f>SUM(BO93)</f>
        <v>0</v>
      </c>
      <c r="BO93" s="11">
        <v>0</v>
      </c>
      <c r="BP93" s="11">
        <v>0</v>
      </c>
      <c r="BQ93" s="11">
        <f>SUM(BR93:CB93)</f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v>0</v>
      </c>
      <c r="BW93" s="11"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v>0</v>
      </c>
      <c r="CC93" s="11">
        <f t="shared" ref="CC93:CC99" si="143">SUM(CD93+CT93)</f>
        <v>0</v>
      </c>
      <c r="CD93" s="11">
        <f t="shared" ref="CD93:CD99" si="144">SUM(CE93+CH93+CM93)</f>
        <v>0</v>
      </c>
      <c r="CE93" s="11">
        <f>SUM(CF93:CG93)</f>
        <v>0</v>
      </c>
      <c r="CF93" s="11">
        <v>0</v>
      </c>
      <c r="CG93" s="11">
        <v>0</v>
      </c>
      <c r="CH93" s="11">
        <f t="shared" ref="CH93:CH99" si="145">SUM(CI93:CL93)</f>
        <v>0</v>
      </c>
      <c r="CI93" s="11">
        <v>0</v>
      </c>
      <c r="CJ93" s="11">
        <v>0</v>
      </c>
      <c r="CK93" s="11">
        <v>0</v>
      </c>
      <c r="CL93" s="11">
        <v>0</v>
      </c>
      <c r="CM93" s="11">
        <f t="shared" ref="CM93:CM99" si="146">SUM(CN93:CQ93)</f>
        <v>0</v>
      </c>
      <c r="CN93" s="11">
        <v>0</v>
      </c>
      <c r="CO93" s="11">
        <v>0</v>
      </c>
      <c r="CP93" s="11"/>
      <c r="CQ93" s="11">
        <v>0</v>
      </c>
      <c r="CR93" s="11">
        <v>0</v>
      </c>
      <c r="CS93" s="11">
        <v>0</v>
      </c>
      <c r="CT93" s="11">
        <v>0</v>
      </c>
      <c r="CU93" s="11">
        <f>SUM(CV93)</f>
        <v>0</v>
      </c>
      <c r="CV93" s="11">
        <f>SUM(CW93:CX93)</f>
        <v>0</v>
      </c>
      <c r="CW93" s="11">
        <v>0</v>
      </c>
      <c r="CX93" s="12">
        <v>0</v>
      </c>
    </row>
    <row r="94" spans="1:102" ht="15.75" x14ac:dyDescent="0.25">
      <c r="A94" s="13" t="s">
        <v>1</v>
      </c>
      <c r="B94" s="14" t="s">
        <v>1</v>
      </c>
      <c r="C94" s="14" t="s">
        <v>88</v>
      </c>
      <c r="D94" s="15" t="s">
        <v>206</v>
      </c>
      <c r="E94" s="10">
        <f t="shared" si="135"/>
        <v>4339170</v>
      </c>
      <c r="F94" s="11">
        <f t="shared" si="136"/>
        <v>4339170</v>
      </c>
      <c r="G94" s="11">
        <f t="shared" si="137"/>
        <v>4339170</v>
      </c>
      <c r="H94" s="11">
        <v>0</v>
      </c>
      <c r="I94" s="11">
        <v>0</v>
      </c>
      <c r="J94" s="11">
        <f t="shared" si="138"/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f>SUM(R94:S94)</f>
        <v>0</v>
      </c>
      <c r="R94" s="11">
        <v>0</v>
      </c>
      <c r="S94" s="11">
        <v>0</v>
      </c>
      <c r="T94" s="11">
        <v>0</v>
      </c>
      <c r="U94" s="11">
        <v>0</v>
      </c>
      <c r="V94" s="11">
        <f t="shared" si="139"/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f t="shared" si="140"/>
        <v>4339170</v>
      </c>
      <c r="AG94" s="16"/>
      <c r="AH94" s="16">
        <v>4339170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>
        <v>0</v>
      </c>
      <c r="AU94" s="11">
        <v>0</v>
      </c>
      <c r="AV94" s="11"/>
      <c r="AW94" s="11"/>
      <c r="AX94" s="11">
        <v>0</v>
      </c>
      <c r="AY94" s="11">
        <v>0</v>
      </c>
      <c r="AZ94" s="11">
        <v>0</v>
      </c>
      <c r="BA94" s="11">
        <v>0</v>
      </c>
      <c r="BB94" s="11">
        <v>0</v>
      </c>
      <c r="BC94" s="11">
        <f t="shared" si="141"/>
        <v>0</v>
      </c>
      <c r="BD94" s="11">
        <f t="shared" si="142"/>
        <v>0</v>
      </c>
      <c r="BE94" s="11">
        <v>0</v>
      </c>
      <c r="BF94" s="11">
        <v>0</v>
      </c>
      <c r="BG94" s="11">
        <v>0</v>
      </c>
      <c r="BH94" s="11">
        <f>SUM(BJ94:BK94)</f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v>0</v>
      </c>
      <c r="BN94" s="11">
        <f>SUM(BO94)</f>
        <v>0</v>
      </c>
      <c r="BO94" s="11">
        <v>0</v>
      </c>
      <c r="BP94" s="11">
        <v>0</v>
      </c>
      <c r="BQ94" s="11">
        <f>SUM(BR94:CB94)</f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v>0</v>
      </c>
      <c r="CC94" s="11">
        <f t="shared" si="143"/>
        <v>0</v>
      </c>
      <c r="CD94" s="11">
        <f t="shared" si="144"/>
        <v>0</v>
      </c>
      <c r="CE94" s="11">
        <f>SUM(CF94:CG94)</f>
        <v>0</v>
      </c>
      <c r="CF94" s="11">
        <v>0</v>
      </c>
      <c r="CG94" s="11">
        <v>0</v>
      </c>
      <c r="CH94" s="11">
        <f t="shared" si="145"/>
        <v>0</v>
      </c>
      <c r="CI94" s="11">
        <v>0</v>
      </c>
      <c r="CJ94" s="11">
        <v>0</v>
      </c>
      <c r="CK94" s="11">
        <v>0</v>
      </c>
      <c r="CL94" s="11">
        <v>0</v>
      </c>
      <c r="CM94" s="11">
        <f t="shared" si="146"/>
        <v>0</v>
      </c>
      <c r="CN94" s="11">
        <v>0</v>
      </c>
      <c r="CO94" s="11">
        <v>0</v>
      </c>
      <c r="CP94" s="11"/>
      <c r="CQ94" s="11">
        <v>0</v>
      </c>
      <c r="CR94" s="11">
        <v>0</v>
      </c>
      <c r="CS94" s="11">
        <v>0</v>
      </c>
      <c r="CT94" s="11">
        <v>0</v>
      </c>
      <c r="CU94" s="11">
        <f>SUM(CV94)</f>
        <v>0</v>
      </c>
      <c r="CV94" s="11">
        <f>SUM(CW94:CX94)</f>
        <v>0</v>
      </c>
      <c r="CW94" s="11">
        <v>0</v>
      </c>
      <c r="CX94" s="12">
        <v>0</v>
      </c>
    </row>
    <row r="95" spans="1:102" ht="15.75" x14ac:dyDescent="0.25">
      <c r="A95" s="13" t="s">
        <v>1</v>
      </c>
      <c r="B95" s="14" t="s">
        <v>1</v>
      </c>
      <c r="C95" s="14" t="s">
        <v>90</v>
      </c>
      <c r="D95" s="15" t="s">
        <v>207</v>
      </c>
      <c r="E95" s="10">
        <f t="shared" si="135"/>
        <v>178080</v>
      </c>
      <c r="F95" s="11">
        <f t="shared" si="136"/>
        <v>178080</v>
      </c>
      <c r="G95" s="11">
        <f t="shared" si="137"/>
        <v>178080</v>
      </c>
      <c r="H95" s="11">
        <v>0</v>
      </c>
      <c r="I95" s="11">
        <v>0</v>
      </c>
      <c r="J95" s="11">
        <f t="shared" si="138"/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f t="shared" si="99"/>
        <v>0</v>
      </c>
      <c r="R95" s="11">
        <v>0</v>
      </c>
      <c r="S95" s="11">
        <v>0</v>
      </c>
      <c r="T95" s="11">
        <v>0</v>
      </c>
      <c r="U95" s="11">
        <v>0</v>
      </c>
      <c r="V95" s="11">
        <f t="shared" si="139"/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f t="shared" si="140"/>
        <v>178080</v>
      </c>
      <c r="AG95" s="16"/>
      <c r="AH95" s="16">
        <v>178080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  <c r="AU95" s="11">
        <v>0</v>
      </c>
      <c r="AV95" s="11"/>
      <c r="AW95" s="11"/>
      <c r="AX95" s="11">
        <v>0</v>
      </c>
      <c r="AY95" s="11">
        <v>0</v>
      </c>
      <c r="AZ95" s="11">
        <v>0</v>
      </c>
      <c r="BA95" s="11">
        <v>0</v>
      </c>
      <c r="BB95" s="11">
        <v>0</v>
      </c>
      <c r="BC95" s="11">
        <f t="shared" si="141"/>
        <v>0</v>
      </c>
      <c r="BD95" s="11">
        <f t="shared" si="142"/>
        <v>0</v>
      </c>
      <c r="BE95" s="11">
        <v>0</v>
      </c>
      <c r="BF95" s="11">
        <v>0</v>
      </c>
      <c r="BG95" s="11">
        <v>0</v>
      </c>
      <c r="BH95" s="11">
        <f t="shared" si="100"/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v>0</v>
      </c>
      <c r="BN95" s="11">
        <f t="shared" si="101"/>
        <v>0</v>
      </c>
      <c r="BO95" s="11">
        <v>0</v>
      </c>
      <c r="BP95" s="11">
        <v>0</v>
      </c>
      <c r="BQ95" s="11">
        <f t="shared" si="102"/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v>0</v>
      </c>
      <c r="CC95" s="11">
        <f t="shared" si="143"/>
        <v>0</v>
      </c>
      <c r="CD95" s="11">
        <f t="shared" si="144"/>
        <v>0</v>
      </c>
      <c r="CE95" s="11">
        <f t="shared" si="103"/>
        <v>0</v>
      </c>
      <c r="CF95" s="11">
        <v>0</v>
      </c>
      <c r="CG95" s="11">
        <v>0</v>
      </c>
      <c r="CH95" s="11">
        <f t="shared" si="145"/>
        <v>0</v>
      </c>
      <c r="CI95" s="11">
        <v>0</v>
      </c>
      <c r="CJ95" s="11">
        <v>0</v>
      </c>
      <c r="CK95" s="11">
        <v>0</v>
      </c>
      <c r="CL95" s="11">
        <v>0</v>
      </c>
      <c r="CM95" s="11">
        <f t="shared" si="146"/>
        <v>0</v>
      </c>
      <c r="CN95" s="11">
        <v>0</v>
      </c>
      <c r="CO95" s="11">
        <v>0</v>
      </c>
      <c r="CP95" s="11"/>
      <c r="CQ95" s="11">
        <v>0</v>
      </c>
      <c r="CR95" s="11">
        <v>0</v>
      </c>
      <c r="CS95" s="11">
        <v>0</v>
      </c>
      <c r="CT95" s="11">
        <v>0</v>
      </c>
      <c r="CU95" s="11">
        <f t="shared" si="104"/>
        <v>0</v>
      </c>
      <c r="CV95" s="11">
        <f t="shared" si="105"/>
        <v>0</v>
      </c>
      <c r="CW95" s="11">
        <v>0</v>
      </c>
      <c r="CX95" s="12">
        <v>0</v>
      </c>
    </row>
    <row r="96" spans="1:102" ht="31.5" x14ac:dyDescent="0.25">
      <c r="A96" s="13" t="s">
        <v>1</v>
      </c>
      <c r="B96" s="14" t="s">
        <v>1</v>
      </c>
      <c r="C96" s="14" t="s">
        <v>178</v>
      </c>
      <c r="D96" s="15" t="s">
        <v>179</v>
      </c>
      <c r="E96" s="10">
        <f t="shared" si="135"/>
        <v>705501</v>
      </c>
      <c r="F96" s="11">
        <f t="shared" si="136"/>
        <v>705501</v>
      </c>
      <c r="G96" s="11">
        <f t="shared" si="137"/>
        <v>705501</v>
      </c>
      <c r="H96" s="11">
        <v>0</v>
      </c>
      <c r="I96" s="11">
        <v>0</v>
      </c>
      <c r="J96" s="11">
        <f t="shared" si="138"/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f t="shared" si="99"/>
        <v>0</v>
      </c>
      <c r="R96" s="11">
        <v>0</v>
      </c>
      <c r="S96" s="11">
        <v>0</v>
      </c>
      <c r="T96" s="11">
        <v>0</v>
      </c>
      <c r="U96" s="11">
        <v>0</v>
      </c>
      <c r="V96" s="11">
        <f t="shared" si="139"/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f t="shared" si="140"/>
        <v>705501</v>
      </c>
      <c r="AG96" s="16"/>
      <c r="AH96" s="16">
        <v>705501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/>
      <c r="AW96" s="11"/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11">
        <f t="shared" si="141"/>
        <v>0</v>
      </c>
      <c r="BD96" s="11">
        <f t="shared" si="142"/>
        <v>0</v>
      </c>
      <c r="BE96" s="11">
        <v>0</v>
      </c>
      <c r="BF96" s="11">
        <v>0</v>
      </c>
      <c r="BG96" s="11">
        <v>0</v>
      </c>
      <c r="BH96" s="11">
        <f t="shared" si="100"/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v>0</v>
      </c>
      <c r="BN96" s="11">
        <f t="shared" si="101"/>
        <v>0</v>
      </c>
      <c r="BO96" s="11">
        <v>0</v>
      </c>
      <c r="BP96" s="11">
        <v>0</v>
      </c>
      <c r="BQ96" s="11">
        <f t="shared" si="102"/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0</v>
      </c>
      <c r="CC96" s="11">
        <f t="shared" si="143"/>
        <v>0</v>
      </c>
      <c r="CD96" s="11">
        <f t="shared" si="144"/>
        <v>0</v>
      </c>
      <c r="CE96" s="11">
        <f t="shared" si="103"/>
        <v>0</v>
      </c>
      <c r="CF96" s="11">
        <v>0</v>
      </c>
      <c r="CG96" s="11">
        <v>0</v>
      </c>
      <c r="CH96" s="11">
        <f t="shared" si="145"/>
        <v>0</v>
      </c>
      <c r="CI96" s="11">
        <v>0</v>
      </c>
      <c r="CJ96" s="11">
        <v>0</v>
      </c>
      <c r="CK96" s="11">
        <v>0</v>
      </c>
      <c r="CL96" s="11">
        <v>0</v>
      </c>
      <c r="CM96" s="11">
        <f t="shared" si="146"/>
        <v>0</v>
      </c>
      <c r="CN96" s="11">
        <v>0</v>
      </c>
      <c r="CO96" s="11">
        <v>0</v>
      </c>
      <c r="CP96" s="11"/>
      <c r="CQ96" s="11">
        <v>0</v>
      </c>
      <c r="CR96" s="11">
        <v>0</v>
      </c>
      <c r="CS96" s="11">
        <v>0</v>
      </c>
      <c r="CT96" s="11">
        <v>0</v>
      </c>
      <c r="CU96" s="11">
        <f t="shared" si="104"/>
        <v>0</v>
      </c>
      <c r="CV96" s="11">
        <f t="shared" si="105"/>
        <v>0</v>
      </c>
      <c r="CW96" s="11">
        <v>0</v>
      </c>
      <c r="CX96" s="12">
        <v>0</v>
      </c>
    </row>
    <row r="97" spans="1:102" ht="15.75" x14ac:dyDescent="0.25">
      <c r="A97" s="13" t="s">
        <v>1</v>
      </c>
      <c r="B97" s="14" t="s">
        <v>1</v>
      </c>
      <c r="C97" s="14" t="s">
        <v>94</v>
      </c>
      <c r="D97" s="15" t="s">
        <v>447</v>
      </c>
      <c r="E97" s="10">
        <f t="shared" si="135"/>
        <v>1246123</v>
      </c>
      <c r="F97" s="11">
        <f t="shared" si="136"/>
        <v>1246123</v>
      </c>
      <c r="G97" s="11">
        <f t="shared" si="137"/>
        <v>1246123</v>
      </c>
      <c r="H97" s="11">
        <v>0</v>
      </c>
      <c r="I97" s="11">
        <v>0</v>
      </c>
      <c r="J97" s="11">
        <f t="shared" si="138"/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f t="shared" si="99"/>
        <v>0</v>
      </c>
      <c r="R97" s="11">
        <v>0</v>
      </c>
      <c r="S97" s="11">
        <v>0</v>
      </c>
      <c r="T97" s="11">
        <v>0</v>
      </c>
      <c r="U97" s="11">
        <v>0</v>
      </c>
      <c r="V97" s="11">
        <f t="shared" si="139"/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f t="shared" si="140"/>
        <v>1246123</v>
      </c>
      <c r="AG97" s="16"/>
      <c r="AH97" s="16">
        <v>1246123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  <c r="AU97" s="11">
        <v>0</v>
      </c>
      <c r="AV97" s="11"/>
      <c r="AW97" s="11"/>
      <c r="AX97" s="11">
        <v>0</v>
      </c>
      <c r="AY97" s="11">
        <v>0</v>
      </c>
      <c r="AZ97" s="11">
        <v>0</v>
      </c>
      <c r="BA97" s="11">
        <v>0</v>
      </c>
      <c r="BB97" s="11">
        <v>0</v>
      </c>
      <c r="BC97" s="11">
        <f t="shared" si="141"/>
        <v>0</v>
      </c>
      <c r="BD97" s="11">
        <f t="shared" si="142"/>
        <v>0</v>
      </c>
      <c r="BE97" s="11">
        <v>0</v>
      </c>
      <c r="BF97" s="11">
        <v>0</v>
      </c>
      <c r="BG97" s="11">
        <v>0</v>
      </c>
      <c r="BH97" s="11">
        <f t="shared" si="100"/>
        <v>0</v>
      </c>
      <c r="BI97" s="11">
        <v>0</v>
      </c>
      <c r="BJ97" s="11">
        <v>0</v>
      </c>
      <c r="BK97" s="11">
        <v>0</v>
      </c>
      <c r="BL97" s="11">
        <v>0</v>
      </c>
      <c r="BM97" s="11">
        <v>0</v>
      </c>
      <c r="BN97" s="11">
        <f t="shared" si="101"/>
        <v>0</v>
      </c>
      <c r="BO97" s="11">
        <v>0</v>
      </c>
      <c r="BP97" s="11">
        <v>0</v>
      </c>
      <c r="BQ97" s="11">
        <f t="shared" si="102"/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v>0</v>
      </c>
      <c r="BW97" s="11"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v>0</v>
      </c>
      <c r="CC97" s="11">
        <f t="shared" si="143"/>
        <v>0</v>
      </c>
      <c r="CD97" s="11">
        <f t="shared" si="144"/>
        <v>0</v>
      </c>
      <c r="CE97" s="11">
        <f t="shared" si="103"/>
        <v>0</v>
      </c>
      <c r="CF97" s="11">
        <v>0</v>
      </c>
      <c r="CG97" s="11">
        <v>0</v>
      </c>
      <c r="CH97" s="11">
        <f t="shared" si="145"/>
        <v>0</v>
      </c>
      <c r="CI97" s="11">
        <v>0</v>
      </c>
      <c r="CJ97" s="11">
        <v>0</v>
      </c>
      <c r="CK97" s="11">
        <v>0</v>
      </c>
      <c r="CL97" s="11">
        <v>0</v>
      </c>
      <c r="CM97" s="11">
        <f t="shared" si="146"/>
        <v>0</v>
      </c>
      <c r="CN97" s="11">
        <v>0</v>
      </c>
      <c r="CO97" s="11">
        <v>0</v>
      </c>
      <c r="CP97" s="11"/>
      <c r="CQ97" s="11">
        <v>0</v>
      </c>
      <c r="CR97" s="11">
        <v>0</v>
      </c>
      <c r="CS97" s="11">
        <v>0</v>
      </c>
      <c r="CT97" s="11">
        <v>0</v>
      </c>
      <c r="CU97" s="11">
        <f t="shared" si="104"/>
        <v>0</v>
      </c>
      <c r="CV97" s="11">
        <f t="shared" si="105"/>
        <v>0</v>
      </c>
      <c r="CW97" s="11">
        <v>0</v>
      </c>
      <c r="CX97" s="12">
        <v>0</v>
      </c>
    </row>
    <row r="98" spans="1:102" ht="31.5" x14ac:dyDescent="0.25">
      <c r="A98" s="13" t="s">
        <v>1</v>
      </c>
      <c r="B98" s="14" t="s">
        <v>1</v>
      </c>
      <c r="C98" s="14" t="s">
        <v>208</v>
      </c>
      <c r="D98" s="15" t="s">
        <v>448</v>
      </c>
      <c r="E98" s="10">
        <f t="shared" si="135"/>
        <v>356305</v>
      </c>
      <c r="F98" s="11">
        <f t="shared" si="136"/>
        <v>356305</v>
      </c>
      <c r="G98" s="11">
        <f t="shared" si="137"/>
        <v>356305</v>
      </c>
      <c r="H98" s="16">
        <f>274466+14638</f>
        <v>289104</v>
      </c>
      <c r="I98" s="16">
        <f>63541+3660</f>
        <v>67201</v>
      </c>
      <c r="J98" s="11">
        <f t="shared" si="138"/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/>
      <c r="Q98" s="11">
        <f t="shared" si="99"/>
        <v>0</v>
      </c>
      <c r="R98" s="11">
        <v>0</v>
      </c>
      <c r="S98" s="11"/>
      <c r="T98" s="11">
        <v>0</v>
      </c>
      <c r="U98" s="11">
        <v>0</v>
      </c>
      <c r="V98" s="11">
        <f t="shared" si="139"/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f t="shared" si="140"/>
        <v>0</v>
      </c>
      <c r="AG98" s="16"/>
      <c r="AH98" s="16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/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/>
      <c r="AW98" s="11"/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f t="shared" si="141"/>
        <v>0</v>
      </c>
      <c r="BD98" s="11">
        <f t="shared" si="142"/>
        <v>0</v>
      </c>
      <c r="BE98" s="11">
        <v>0</v>
      </c>
      <c r="BF98" s="11">
        <v>0</v>
      </c>
      <c r="BG98" s="11">
        <v>0</v>
      </c>
      <c r="BH98" s="11">
        <f t="shared" si="100"/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f t="shared" si="101"/>
        <v>0</v>
      </c>
      <c r="BO98" s="11">
        <v>0</v>
      </c>
      <c r="BP98" s="11">
        <v>0</v>
      </c>
      <c r="BQ98" s="11">
        <f t="shared" si="102"/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v>0</v>
      </c>
      <c r="CC98" s="11">
        <f t="shared" si="143"/>
        <v>0</v>
      </c>
      <c r="CD98" s="11">
        <f t="shared" si="144"/>
        <v>0</v>
      </c>
      <c r="CE98" s="11">
        <f t="shared" si="103"/>
        <v>0</v>
      </c>
      <c r="CF98" s="11">
        <v>0</v>
      </c>
      <c r="CG98" s="11"/>
      <c r="CH98" s="11">
        <f t="shared" si="145"/>
        <v>0</v>
      </c>
      <c r="CI98" s="11">
        <v>0</v>
      </c>
      <c r="CJ98" s="11">
        <v>0</v>
      </c>
      <c r="CK98" s="11">
        <v>0</v>
      </c>
      <c r="CL98" s="11">
        <v>0</v>
      </c>
      <c r="CM98" s="11">
        <f t="shared" si="146"/>
        <v>0</v>
      </c>
      <c r="CN98" s="11">
        <v>0</v>
      </c>
      <c r="CO98" s="11">
        <v>0</v>
      </c>
      <c r="CP98" s="11"/>
      <c r="CQ98" s="11">
        <v>0</v>
      </c>
      <c r="CR98" s="11">
        <v>0</v>
      </c>
      <c r="CS98" s="11">
        <v>0</v>
      </c>
      <c r="CT98" s="11">
        <v>0</v>
      </c>
      <c r="CU98" s="11">
        <f t="shared" si="104"/>
        <v>0</v>
      </c>
      <c r="CV98" s="11">
        <f t="shared" si="105"/>
        <v>0</v>
      </c>
      <c r="CW98" s="11">
        <v>0</v>
      </c>
      <c r="CX98" s="12">
        <v>0</v>
      </c>
    </row>
    <row r="99" spans="1:102" ht="15.75" x14ac:dyDescent="0.25">
      <c r="A99" s="13" t="s">
        <v>1</v>
      </c>
      <c r="B99" s="14" t="s">
        <v>1</v>
      </c>
      <c r="C99" s="14" t="s">
        <v>196</v>
      </c>
      <c r="D99" s="15" t="s">
        <v>209</v>
      </c>
      <c r="E99" s="10">
        <f t="shared" si="135"/>
        <v>142891</v>
      </c>
      <c r="F99" s="11">
        <f t="shared" si="136"/>
        <v>142891</v>
      </c>
      <c r="G99" s="11">
        <f t="shared" si="137"/>
        <v>142891</v>
      </c>
      <c r="H99" s="11">
        <v>0</v>
      </c>
      <c r="I99" s="11">
        <v>0</v>
      </c>
      <c r="J99" s="11">
        <f t="shared" si="138"/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f>SUM(R99:S99)</f>
        <v>0</v>
      </c>
      <c r="R99" s="11">
        <v>0</v>
      </c>
      <c r="S99" s="11">
        <v>0</v>
      </c>
      <c r="T99" s="11">
        <v>0</v>
      </c>
      <c r="U99" s="11">
        <v>0</v>
      </c>
      <c r="V99" s="11">
        <f t="shared" si="139"/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f t="shared" si="140"/>
        <v>142891</v>
      </c>
      <c r="AG99" s="16"/>
      <c r="AH99" s="16">
        <v>142891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/>
      <c r="AW99" s="11"/>
      <c r="AX99" s="11">
        <v>0</v>
      </c>
      <c r="AY99" s="11">
        <v>0</v>
      </c>
      <c r="AZ99" s="11">
        <v>0</v>
      </c>
      <c r="BA99" s="11">
        <v>0</v>
      </c>
      <c r="BB99" s="11">
        <v>0</v>
      </c>
      <c r="BC99" s="11">
        <f t="shared" si="141"/>
        <v>0</v>
      </c>
      <c r="BD99" s="11">
        <f t="shared" si="142"/>
        <v>0</v>
      </c>
      <c r="BE99" s="11">
        <v>0</v>
      </c>
      <c r="BF99" s="11">
        <v>0</v>
      </c>
      <c r="BG99" s="11">
        <v>0</v>
      </c>
      <c r="BH99" s="11">
        <f>SUM(BJ99:BK99)</f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f>SUM(BO99)</f>
        <v>0</v>
      </c>
      <c r="BO99" s="11">
        <v>0</v>
      </c>
      <c r="BP99" s="11">
        <v>0</v>
      </c>
      <c r="BQ99" s="11">
        <f>SUM(BR99:CB99)</f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0</v>
      </c>
      <c r="CC99" s="11">
        <f t="shared" si="143"/>
        <v>0</v>
      </c>
      <c r="CD99" s="11">
        <f t="shared" si="144"/>
        <v>0</v>
      </c>
      <c r="CE99" s="11">
        <f>SUM(CF99:CG99)</f>
        <v>0</v>
      </c>
      <c r="CF99" s="11">
        <v>0</v>
      </c>
      <c r="CG99" s="11">
        <v>0</v>
      </c>
      <c r="CH99" s="11">
        <f t="shared" si="145"/>
        <v>0</v>
      </c>
      <c r="CI99" s="11">
        <v>0</v>
      </c>
      <c r="CJ99" s="11">
        <v>0</v>
      </c>
      <c r="CK99" s="11">
        <v>0</v>
      </c>
      <c r="CL99" s="11">
        <v>0</v>
      </c>
      <c r="CM99" s="11">
        <f t="shared" si="146"/>
        <v>0</v>
      </c>
      <c r="CN99" s="11">
        <v>0</v>
      </c>
      <c r="CO99" s="11">
        <v>0</v>
      </c>
      <c r="CP99" s="11"/>
      <c r="CQ99" s="11">
        <v>0</v>
      </c>
      <c r="CR99" s="11">
        <v>0</v>
      </c>
      <c r="CS99" s="11">
        <v>0</v>
      </c>
      <c r="CT99" s="11">
        <v>0</v>
      </c>
      <c r="CU99" s="11">
        <f>SUM(CV99)</f>
        <v>0</v>
      </c>
      <c r="CV99" s="11">
        <f>SUM(CW99:CX99)</f>
        <v>0</v>
      </c>
      <c r="CW99" s="11">
        <v>0</v>
      </c>
      <c r="CX99" s="12">
        <v>0</v>
      </c>
    </row>
    <row r="100" spans="1:102" ht="31.5" x14ac:dyDescent="0.25">
      <c r="A100" s="18" t="s">
        <v>210</v>
      </c>
      <c r="B100" s="19" t="s">
        <v>1</v>
      </c>
      <c r="C100" s="19" t="s">
        <v>1</v>
      </c>
      <c r="D100" s="20" t="s">
        <v>211</v>
      </c>
      <c r="E100" s="21">
        <f>SUM(E101)</f>
        <v>192336847</v>
      </c>
      <c r="F100" s="22">
        <f t="shared" ref="F100:BW101" si="147">SUM(F101)</f>
        <v>192336847</v>
      </c>
      <c r="G100" s="22">
        <f t="shared" si="147"/>
        <v>0</v>
      </c>
      <c r="H100" s="22">
        <f t="shared" si="147"/>
        <v>0</v>
      </c>
      <c r="I100" s="22">
        <f t="shared" si="147"/>
        <v>0</v>
      </c>
      <c r="J100" s="22">
        <f t="shared" si="147"/>
        <v>0</v>
      </c>
      <c r="K100" s="22">
        <f t="shared" si="147"/>
        <v>0</v>
      </c>
      <c r="L100" s="22">
        <f t="shared" si="147"/>
        <v>0</v>
      </c>
      <c r="M100" s="22">
        <f t="shared" si="147"/>
        <v>0</v>
      </c>
      <c r="N100" s="22">
        <f t="shared" si="147"/>
        <v>0</v>
      </c>
      <c r="O100" s="22">
        <f t="shared" si="147"/>
        <v>0</v>
      </c>
      <c r="P100" s="22">
        <f t="shared" si="147"/>
        <v>0</v>
      </c>
      <c r="Q100" s="22">
        <f t="shared" si="147"/>
        <v>0</v>
      </c>
      <c r="R100" s="22">
        <f t="shared" si="147"/>
        <v>0</v>
      </c>
      <c r="S100" s="22">
        <f t="shared" si="147"/>
        <v>0</v>
      </c>
      <c r="T100" s="22">
        <f t="shared" si="147"/>
        <v>0</v>
      </c>
      <c r="U100" s="22">
        <f t="shared" si="147"/>
        <v>0</v>
      </c>
      <c r="V100" s="22">
        <f t="shared" si="147"/>
        <v>0</v>
      </c>
      <c r="W100" s="22">
        <f t="shared" si="147"/>
        <v>0</v>
      </c>
      <c r="X100" s="22">
        <f t="shared" si="147"/>
        <v>0</v>
      </c>
      <c r="Y100" s="22">
        <f t="shared" si="147"/>
        <v>0</v>
      </c>
      <c r="Z100" s="22">
        <f t="shared" si="147"/>
        <v>0</v>
      </c>
      <c r="AA100" s="22">
        <f t="shared" si="147"/>
        <v>0</v>
      </c>
      <c r="AB100" s="22">
        <f t="shared" si="147"/>
        <v>0</v>
      </c>
      <c r="AC100" s="22">
        <f t="shared" si="147"/>
        <v>0</v>
      </c>
      <c r="AD100" s="22">
        <f t="shared" si="147"/>
        <v>0</v>
      </c>
      <c r="AE100" s="22">
        <f t="shared" si="147"/>
        <v>0</v>
      </c>
      <c r="AF100" s="22">
        <f t="shared" si="147"/>
        <v>0</v>
      </c>
      <c r="AG100" s="22">
        <f t="shared" si="147"/>
        <v>0</v>
      </c>
      <c r="AH100" s="22">
        <f t="shared" si="147"/>
        <v>0</v>
      </c>
      <c r="AI100" s="22">
        <f t="shared" si="147"/>
        <v>0</v>
      </c>
      <c r="AJ100" s="22">
        <f t="shared" si="147"/>
        <v>0</v>
      </c>
      <c r="AK100" s="22">
        <f t="shared" si="147"/>
        <v>0</v>
      </c>
      <c r="AL100" s="22">
        <f t="shared" si="147"/>
        <v>0</v>
      </c>
      <c r="AM100" s="22">
        <f t="shared" si="147"/>
        <v>0</v>
      </c>
      <c r="AN100" s="22">
        <f t="shared" si="147"/>
        <v>0</v>
      </c>
      <c r="AO100" s="22">
        <f t="shared" si="147"/>
        <v>0</v>
      </c>
      <c r="AP100" s="22">
        <f t="shared" si="147"/>
        <v>0</v>
      </c>
      <c r="AQ100" s="22">
        <f t="shared" si="147"/>
        <v>0</v>
      </c>
      <c r="AR100" s="22">
        <f t="shared" si="147"/>
        <v>0</v>
      </c>
      <c r="AS100" s="22">
        <f t="shared" si="147"/>
        <v>0</v>
      </c>
      <c r="AT100" s="22">
        <f t="shared" si="147"/>
        <v>0</v>
      </c>
      <c r="AU100" s="22">
        <f t="shared" si="147"/>
        <v>0</v>
      </c>
      <c r="AV100" s="22"/>
      <c r="AW100" s="22"/>
      <c r="AX100" s="22">
        <f t="shared" si="147"/>
        <v>0</v>
      </c>
      <c r="AY100" s="22">
        <f t="shared" si="147"/>
        <v>0</v>
      </c>
      <c r="AZ100" s="22">
        <f t="shared" si="147"/>
        <v>0</v>
      </c>
      <c r="BA100" s="22">
        <f t="shared" si="147"/>
        <v>0</v>
      </c>
      <c r="BB100" s="22">
        <f t="shared" si="147"/>
        <v>0</v>
      </c>
      <c r="BC100" s="22">
        <f t="shared" si="147"/>
        <v>192336847</v>
      </c>
      <c r="BD100" s="22">
        <f t="shared" si="147"/>
        <v>192336847</v>
      </c>
      <c r="BE100" s="22">
        <f t="shared" si="147"/>
        <v>192336847</v>
      </c>
      <c r="BF100" s="22">
        <f t="shared" si="147"/>
        <v>0</v>
      </c>
      <c r="BG100" s="22">
        <f t="shared" si="147"/>
        <v>0</v>
      </c>
      <c r="BH100" s="22">
        <f t="shared" si="147"/>
        <v>0</v>
      </c>
      <c r="BI100" s="22">
        <f t="shared" si="147"/>
        <v>0</v>
      </c>
      <c r="BJ100" s="22">
        <f t="shared" si="147"/>
        <v>0</v>
      </c>
      <c r="BK100" s="22">
        <f t="shared" si="147"/>
        <v>0</v>
      </c>
      <c r="BL100" s="22">
        <f t="shared" si="147"/>
        <v>0</v>
      </c>
      <c r="BM100" s="22">
        <f t="shared" si="147"/>
        <v>0</v>
      </c>
      <c r="BN100" s="22">
        <f t="shared" si="147"/>
        <v>0</v>
      </c>
      <c r="BO100" s="22">
        <f t="shared" si="147"/>
        <v>0</v>
      </c>
      <c r="BP100" s="22">
        <f t="shared" si="147"/>
        <v>0</v>
      </c>
      <c r="BQ100" s="22">
        <f t="shared" si="147"/>
        <v>0</v>
      </c>
      <c r="BR100" s="22">
        <f t="shared" si="147"/>
        <v>0</v>
      </c>
      <c r="BS100" s="22">
        <f t="shared" si="147"/>
        <v>0</v>
      </c>
      <c r="BT100" s="22">
        <f t="shared" si="147"/>
        <v>0</v>
      </c>
      <c r="BU100" s="22">
        <f t="shared" si="147"/>
        <v>0</v>
      </c>
      <c r="BV100" s="22">
        <f t="shared" si="147"/>
        <v>0</v>
      </c>
      <c r="BW100" s="22">
        <f t="shared" si="147"/>
        <v>0</v>
      </c>
      <c r="BX100" s="22">
        <f t="shared" ref="BX100:CX101" si="148">SUM(BX101)</f>
        <v>0</v>
      </c>
      <c r="BY100" s="22">
        <f t="shared" si="148"/>
        <v>0</v>
      </c>
      <c r="BZ100" s="22">
        <f t="shared" si="148"/>
        <v>0</v>
      </c>
      <c r="CA100" s="22">
        <f t="shared" si="148"/>
        <v>0</v>
      </c>
      <c r="CB100" s="22">
        <f t="shared" si="148"/>
        <v>0</v>
      </c>
      <c r="CC100" s="22">
        <f t="shared" si="148"/>
        <v>0</v>
      </c>
      <c r="CD100" s="22">
        <f t="shared" si="148"/>
        <v>0</v>
      </c>
      <c r="CE100" s="22">
        <f t="shared" si="148"/>
        <v>0</v>
      </c>
      <c r="CF100" s="22">
        <f t="shared" si="148"/>
        <v>0</v>
      </c>
      <c r="CG100" s="22">
        <f t="shared" si="148"/>
        <v>0</v>
      </c>
      <c r="CH100" s="22">
        <f t="shared" si="148"/>
        <v>0</v>
      </c>
      <c r="CI100" s="22">
        <f t="shared" si="148"/>
        <v>0</v>
      </c>
      <c r="CJ100" s="22">
        <f t="shared" si="148"/>
        <v>0</v>
      </c>
      <c r="CK100" s="22">
        <f t="shared" si="148"/>
        <v>0</v>
      </c>
      <c r="CL100" s="22">
        <f t="shared" si="148"/>
        <v>0</v>
      </c>
      <c r="CM100" s="22">
        <f t="shared" si="148"/>
        <v>0</v>
      </c>
      <c r="CN100" s="22">
        <f t="shared" si="148"/>
        <v>0</v>
      </c>
      <c r="CO100" s="22">
        <f t="shared" si="148"/>
        <v>0</v>
      </c>
      <c r="CP100" s="22"/>
      <c r="CQ100" s="22">
        <f t="shared" si="148"/>
        <v>0</v>
      </c>
      <c r="CR100" s="22">
        <f t="shared" si="148"/>
        <v>0</v>
      </c>
      <c r="CS100" s="22">
        <f t="shared" si="148"/>
        <v>0</v>
      </c>
      <c r="CT100" s="22">
        <f t="shared" si="148"/>
        <v>0</v>
      </c>
      <c r="CU100" s="22">
        <f t="shared" si="148"/>
        <v>0</v>
      </c>
      <c r="CV100" s="22">
        <f t="shared" si="148"/>
        <v>0</v>
      </c>
      <c r="CW100" s="22">
        <f t="shared" si="148"/>
        <v>0</v>
      </c>
      <c r="CX100" s="23">
        <f t="shared" si="148"/>
        <v>0</v>
      </c>
    </row>
    <row r="101" spans="1:102" ht="31.5" x14ac:dyDescent="0.25">
      <c r="A101" s="7"/>
      <c r="B101" s="8" t="s">
        <v>212</v>
      </c>
      <c r="C101" s="8" t="s">
        <v>1</v>
      </c>
      <c r="D101" s="9" t="s">
        <v>213</v>
      </c>
      <c r="E101" s="10">
        <f>SUM(E102)</f>
        <v>192336847</v>
      </c>
      <c r="F101" s="11">
        <f t="shared" si="147"/>
        <v>192336847</v>
      </c>
      <c r="G101" s="11">
        <f t="shared" si="147"/>
        <v>0</v>
      </c>
      <c r="H101" s="11">
        <f t="shared" si="147"/>
        <v>0</v>
      </c>
      <c r="I101" s="11">
        <f t="shared" si="147"/>
        <v>0</v>
      </c>
      <c r="J101" s="11">
        <f t="shared" si="147"/>
        <v>0</v>
      </c>
      <c r="K101" s="11">
        <f t="shared" si="147"/>
        <v>0</v>
      </c>
      <c r="L101" s="11">
        <f t="shared" si="147"/>
        <v>0</v>
      </c>
      <c r="M101" s="11">
        <f t="shared" si="147"/>
        <v>0</v>
      </c>
      <c r="N101" s="11">
        <f t="shared" si="147"/>
        <v>0</v>
      </c>
      <c r="O101" s="11">
        <f t="shared" si="147"/>
        <v>0</v>
      </c>
      <c r="P101" s="11">
        <f t="shared" si="147"/>
        <v>0</v>
      </c>
      <c r="Q101" s="11">
        <f t="shared" si="147"/>
        <v>0</v>
      </c>
      <c r="R101" s="11">
        <f t="shared" si="147"/>
        <v>0</v>
      </c>
      <c r="S101" s="11">
        <f t="shared" si="147"/>
        <v>0</v>
      </c>
      <c r="T101" s="11">
        <f t="shared" si="147"/>
        <v>0</v>
      </c>
      <c r="U101" s="11">
        <f t="shared" si="147"/>
        <v>0</v>
      </c>
      <c r="V101" s="11">
        <f t="shared" si="147"/>
        <v>0</v>
      </c>
      <c r="W101" s="11">
        <f t="shared" si="147"/>
        <v>0</v>
      </c>
      <c r="X101" s="11">
        <f t="shared" si="147"/>
        <v>0</v>
      </c>
      <c r="Y101" s="11">
        <f t="shared" si="147"/>
        <v>0</v>
      </c>
      <c r="Z101" s="11">
        <f t="shared" si="147"/>
        <v>0</v>
      </c>
      <c r="AA101" s="11">
        <f t="shared" si="147"/>
        <v>0</v>
      </c>
      <c r="AB101" s="11">
        <f t="shared" si="147"/>
        <v>0</v>
      </c>
      <c r="AC101" s="11">
        <f t="shared" si="147"/>
        <v>0</v>
      </c>
      <c r="AD101" s="11">
        <f t="shared" si="147"/>
        <v>0</v>
      </c>
      <c r="AE101" s="11">
        <f t="shared" si="147"/>
        <v>0</v>
      </c>
      <c r="AF101" s="11">
        <f t="shared" si="147"/>
        <v>0</v>
      </c>
      <c r="AG101" s="11">
        <f t="shared" si="147"/>
        <v>0</v>
      </c>
      <c r="AH101" s="11">
        <f t="shared" si="147"/>
        <v>0</v>
      </c>
      <c r="AI101" s="11">
        <f t="shared" si="147"/>
        <v>0</v>
      </c>
      <c r="AJ101" s="11">
        <f t="shared" si="147"/>
        <v>0</v>
      </c>
      <c r="AK101" s="11">
        <f t="shared" si="147"/>
        <v>0</v>
      </c>
      <c r="AL101" s="11">
        <f t="shared" si="147"/>
        <v>0</v>
      </c>
      <c r="AM101" s="11">
        <f t="shared" si="147"/>
        <v>0</v>
      </c>
      <c r="AN101" s="11">
        <f t="shared" si="147"/>
        <v>0</v>
      </c>
      <c r="AO101" s="11">
        <f t="shared" si="147"/>
        <v>0</v>
      </c>
      <c r="AP101" s="11">
        <f t="shared" si="147"/>
        <v>0</v>
      </c>
      <c r="AQ101" s="11">
        <f t="shared" si="147"/>
        <v>0</v>
      </c>
      <c r="AR101" s="11">
        <f t="shared" si="147"/>
        <v>0</v>
      </c>
      <c r="AS101" s="11">
        <f t="shared" si="147"/>
        <v>0</v>
      </c>
      <c r="AT101" s="11">
        <f t="shared" si="147"/>
        <v>0</v>
      </c>
      <c r="AU101" s="11">
        <f t="shared" si="147"/>
        <v>0</v>
      </c>
      <c r="AV101" s="11"/>
      <c r="AW101" s="11"/>
      <c r="AX101" s="11">
        <f t="shared" si="147"/>
        <v>0</v>
      </c>
      <c r="AY101" s="11">
        <f t="shared" si="147"/>
        <v>0</v>
      </c>
      <c r="AZ101" s="11">
        <f t="shared" si="147"/>
        <v>0</v>
      </c>
      <c r="BA101" s="11">
        <f t="shared" si="147"/>
        <v>0</v>
      </c>
      <c r="BB101" s="11">
        <f t="shared" si="147"/>
        <v>0</v>
      </c>
      <c r="BC101" s="11">
        <f t="shared" si="147"/>
        <v>192336847</v>
      </c>
      <c r="BD101" s="11">
        <f t="shared" si="147"/>
        <v>192336847</v>
      </c>
      <c r="BE101" s="11">
        <f t="shared" si="147"/>
        <v>192336847</v>
      </c>
      <c r="BF101" s="11">
        <f t="shared" si="147"/>
        <v>0</v>
      </c>
      <c r="BG101" s="11">
        <f t="shared" si="147"/>
        <v>0</v>
      </c>
      <c r="BH101" s="11">
        <f t="shared" si="147"/>
        <v>0</v>
      </c>
      <c r="BI101" s="11">
        <f t="shared" si="147"/>
        <v>0</v>
      </c>
      <c r="BJ101" s="11">
        <f t="shared" si="147"/>
        <v>0</v>
      </c>
      <c r="BK101" s="11">
        <f t="shared" si="147"/>
        <v>0</v>
      </c>
      <c r="BL101" s="11">
        <f t="shared" si="147"/>
        <v>0</v>
      </c>
      <c r="BM101" s="11">
        <f t="shared" si="147"/>
        <v>0</v>
      </c>
      <c r="BN101" s="11">
        <f t="shared" si="147"/>
        <v>0</v>
      </c>
      <c r="BO101" s="11">
        <f t="shared" si="147"/>
        <v>0</v>
      </c>
      <c r="BP101" s="11">
        <f t="shared" si="147"/>
        <v>0</v>
      </c>
      <c r="BQ101" s="11">
        <f t="shared" si="147"/>
        <v>0</v>
      </c>
      <c r="BR101" s="11">
        <f t="shared" si="147"/>
        <v>0</v>
      </c>
      <c r="BS101" s="11">
        <f t="shared" si="147"/>
        <v>0</v>
      </c>
      <c r="BT101" s="11">
        <f t="shared" si="147"/>
        <v>0</v>
      </c>
      <c r="BU101" s="11">
        <f t="shared" si="147"/>
        <v>0</v>
      </c>
      <c r="BV101" s="11">
        <f t="shared" si="147"/>
        <v>0</v>
      </c>
      <c r="BW101" s="11">
        <f t="shared" si="147"/>
        <v>0</v>
      </c>
      <c r="BX101" s="11">
        <f t="shared" si="148"/>
        <v>0</v>
      </c>
      <c r="BY101" s="11">
        <f t="shared" si="148"/>
        <v>0</v>
      </c>
      <c r="BZ101" s="11">
        <f t="shared" si="148"/>
        <v>0</v>
      </c>
      <c r="CA101" s="11">
        <f t="shared" si="148"/>
        <v>0</v>
      </c>
      <c r="CB101" s="11">
        <f t="shared" si="148"/>
        <v>0</v>
      </c>
      <c r="CC101" s="11">
        <f t="shared" si="148"/>
        <v>0</v>
      </c>
      <c r="CD101" s="11">
        <f t="shared" si="148"/>
        <v>0</v>
      </c>
      <c r="CE101" s="11">
        <f t="shared" si="148"/>
        <v>0</v>
      </c>
      <c r="CF101" s="11">
        <f t="shared" si="148"/>
        <v>0</v>
      </c>
      <c r="CG101" s="11">
        <f t="shared" si="148"/>
        <v>0</v>
      </c>
      <c r="CH101" s="11">
        <f t="shared" si="148"/>
        <v>0</v>
      </c>
      <c r="CI101" s="11">
        <f t="shared" si="148"/>
        <v>0</v>
      </c>
      <c r="CJ101" s="11">
        <f t="shared" si="148"/>
        <v>0</v>
      </c>
      <c r="CK101" s="11">
        <f t="shared" si="148"/>
        <v>0</v>
      </c>
      <c r="CL101" s="11">
        <f t="shared" si="148"/>
        <v>0</v>
      </c>
      <c r="CM101" s="11">
        <f t="shared" si="148"/>
        <v>0</v>
      </c>
      <c r="CN101" s="11">
        <f t="shared" si="148"/>
        <v>0</v>
      </c>
      <c r="CO101" s="11">
        <f t="shared" si="148"/>
        <v>0</v>
      </c>
      <c r="CP101" s="11"/>
      <c r="CQ101" s="11">
        <f t="shared" si="148"/>
        <v>0</v>
      </c>
      <c r="CR101" s="11">
        <f t="shared" si="148"/>
        <v>0</v>
      </c>
      <c r="CS101" s="11">
        <f t="shared" si="148"/>
        <v>0</v>
      </c>
      <c r="CT101" s="11">
        <f t="shared" si="148"/>
        <v>0</v>
      </c>
      <c r="CU101" s="11">
        <f t="shared" si="148"/>
        <v>0</v>
      </c>
      <c r="CV101" s="11">
        <f t="shared" si="148"/>
        <v>0</v>
      </c>
      <c r="CW101" s="11">
        <f t="shared" si="148"/>
        <v>0</v>
      </c>
      <c r="CX101" s="12">
        <f t="shared" si="148"/>
        <v>0</v>
      </c>
    </row>
    <row r="102" spans="1:102" ht="15.75" x14ac:dyDescent="0.25">
      <c r="A102" s="13" t="s">
        <v>1</v>
      </c>
      <c r="B102" s="14" t="s">
        <v>1</v>
      </c>
      <c r="C102" s="14" t="s">
        <v>82</v>
      </c>
      <c r="D102" s="15" t="s">
        <v>214</v>
      </c>
      <c r="E102" s="10">
        <f>SUM(F102+CC102+CU102)</f>
        <v>192336847</v>
      </c>
      <c r="F102" s="11">
        <f>SUM(G102+BC102)</f>
        <v>192336847</v>
      </c>
      <c r="G102" s="11">
        <f>SUM(H102+I102+J102+Q102+T102+U102+V102+AF102+AE102)</f>
        <v>0</v>
      </c>
      <c r="H102" s="11">
        <v>0</v>
      </c>
      <c r="I102" s="11">
        <v>0</v>
      </c>
      <c r="J102" s="11">
        <f>SUM(K102:P102)</f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f t="shared" si="99"/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f>SUM(W102:AD102)</f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f>SUM(AG102:BB102)</f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/>
      <c r="AW102" s="11"/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f>SUM(BD102+BH102+BL102+BN102+BQ102)</f>
        <v>192336847</v>
      </c>
      <c r="BD102" s="11">
        <f>SUM(BE102:BG102)</f>
        <v>192336847</v>
      </c>
      <c r="BE102" s="11">
        <f>191860863+475984</f>
        <v>192336847</v>
      </c>
      <c r="BF102" s="11">
        <v>0</v>
      </c>
      <c r="BG102" s="11">
        <v>0</v>
      </c>
      <c r="BH102" s="11">
        <f t="shared" si="100"/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0</v>
      </c>
      <c r="BN102" s="11">
        <f t="shared" si="101"/>
        <v>0</v>
      </c>
      <c r="BO102" s="11">
        <v>0</v>
      </c>
      <c r="BP102" s="11">
        <v>0</v>
      </c>
      <c r="BQ102" s="11">
        <f t="shared" si="102"/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v>0</v>
      </c>
      <c r="CC102" s="11">
        <f>SUM(CD102+CT102)</f>
        <v>0</v>
      </c>
      <c r="CD102" s="11">
        <f>SUM(CE102+CH102+CM102)</f>
        <v>0</v>
      </c>
      <c r="CE102" s="11">
        <f t="shared" si="103"/>
        <v>0</v>
      </c>
      <c r="CF102" s="11">
        <v>0</v>
      </c>
      <c r="CG102" s="11">
        <v>0</v>
      </c>
      <c r="CH102" s="11">
        <f>SUM(CI102:CL102)</f>
        <v>0</v>
      </c>
      <c r="CI102" s="11">
        <v>0</v>
      </c>
      <c r="CJ102" s="11">
        <v>0</v>
      </c>
      <c r="CK102" s="11">
        <v>0</v>
      </c>
      <c r="CL102" s="11">
        <v>0</v>
      </c>
      <c r="CM102" s="11">
        <f>SUM(CN102:CQ102)</f>
        <v>0</v>
      </c>
      <c r="CN102" s="11">
        <v>0</v>
      </c>
      <c r="CO102" s="11">
        <v>0</v>
      </c>
      <c r="CP102" s="11"/>
      <c r="CQ102" s="11">
        <v>0</v>
      </c>
      <c r="CR102" s="11">
        <v>0</v>
      </c>
      <c r="CS102" s="11">
        <v>0</v>
      </c>
      <c r="CT102" s="11">
        <v>0</v>
      </c>
      <c r="CU102" s="11">
        <f t="shared" si="104"/>
        <v>0</v>
      </c>
      <c r="CV102" s="11">
        <f t="shared" si="105"/>
        <v>0</v>
      </c>
      <c r="CW102" s="11">
        <v>0</v>
      </c>
      <c r="CX102" s="12">
        <v>0</v>
      </c>
    </row>
    <row r="103" spans="1:102" ht="15.75" x14ac:dyDescent="0.25">
      <c r="A103" s="18" t="s">
        <v>215</v>
      </c>
      <c r="B103" s="19" t="s">
        <v>1</v>
      </c>
      <c r="C103" s="19" t="s">
        <v>1</v>
      </c>
      <c r="D103" s="20" t="s">
        <v>216</v>
      </c>
      <c r="E103" s="21">
        <f t="shared" ref="E103:AL103" si="149">SUM(E104)</f>
        <v>6416033</v>
      </c>
      <c r="F103" s="22">
        <f t="shared" si="149"/>
        <v>6416033</v>
      </c>
      <c r="G103" s="22">
        <f t="shared" si="149"/>
        <v>6416033</v>
      </c>
      <c r="H103" s="22">
        <f t="shared" si="149"/>
        <v>5187047</v>
      </c>
      <c r="I103" s="22">
        <f t="shared" si="149"/>
        <v>1228986</v>
      </c>
      <c r="J103" s="22">
        <f t="shared" si="149"/>
        <v>0</v>
      </c>
      <c r="K103" s="22">
        <f t="shared" si="149"/>
        <v>0</v>
      </c>
      <c r="L103" s="22">
        <f t="shared" si="149"/>
        <v>0</v>
      </c>
      <c r="M103" s="22">
        <f t="shared" si="149"/>
        <v>0</v>
      </c>
      <c r="N103" s="22">
        <f t="shared" si="149"/>
        <v>0</v>
      </c>
      <c r="O103" s="22">
        <f t="shared" si="149"/>
        <v>0</v>
      </c>
      <c r="P103" s="22">
        <f t="shared" si="149"/>
        <v>0</v>
      </c>
      <c r="Q103" s="22">
        <f t="shared" si="149"/>
        <v>0</v>
      </c>
      <c r="R103" s="22">
        <f t="shared" si="149"/>
        <v>0</v>
      </c>
      <c r="S103" s="22">
        <f t="shared" si="149"/>
        <v>0</v>
      </c>
      <c r="T103" s="22">
        <f t="shared" si="149"/>
        <v>0</v>
      </c>
      <c r="U103" s="22">
        <f t="shared" si="149"/>
        <v>0</v>
      </c>
      <c r="V103" s="22">
        <f t="shared" si="149"/>
        <v>0</v>
      </c>
      <c r="W103" s="22">
        <f t="shared" si="149"/>
        <v>0</v>
      </c>
      <c r="X103" s="22">
        <f t="shared" si="149"/>
        <v>0</v>
      </c>
      <c r="Y103" s="22">
        <f t="shared" si="149"/>
        <v>0</v>
      </c>
      <c r="Z103" s="22">
        <f t="shared" si="149"/>
        <v>0</v>
      </c>
      <c r="AA103" s="22">
        <f t="shared" si="149"/>
        <v>0</v>
      </c>
      <c r="AB103" s="22">
        <f t="shared" si="149"/>
        <v>0</v>
      </c>
      <c r="AC103" s="22">
        <f t="shared" si="149"/>
        <v>0</v>
      </c>
      <c r="AD103" s="22">
        <f t="shared" si="149"/>
        <v>0</v>
      </c>
      <c r="AE103" s="22">
        <f t="shared" si="149"/>
        <v>0</v>
      </c>
      <c r="AF103" s="22">
        <f t="shared" si="149"/>
        <v>0</v>
      </c>
      <c r="AG103" s="22">
        <f t="shared" si="149"/>
        <v>0</v>
      </c>
      <c r="AH103" s="22">
        <f t="shared" si="149"/>
        <v>0</v>
      </c>
      <c r="AI103" s="22">
        <f t="shared" si="149"/>
        <v>0</v>
      </c>
      <c r="AJ103" s="22">
        <f t="shared" si="149"/>
        <v>0</v>
      </c>
      <c r="AK103" s="22">
        <f t="shared" si="149"/>
        <v>0</v>
      </c>
      <c r="AL103" s="22">
        <f t="shared" si="149"/>
        <v>0</v>
      </c>
      <c r="AM103" s="22">
        <f t="shared" ref="AM103:CX103" si="150">SUM(AM104)</f>
        <v>0</v>
      </c>
      <c r="AN103" s="22">
        <f t="shared" si="150"/>
        <v>0</v>
      </c>
      <c r="AO103" s="22">
        <f t="shared" si="150"/>
        <v>0</v>
      </c>
      <c r="AP103" s="22">
        <f t="shared" si="150"/>
        <v>0</v>
      </c>
      <c r="AQ103" s="22">
        <f t="shared" si="150"/>
        <v>0</v>
      </c>
      <c r="AR103" s="22">
        <f t="shared" si="150"/>
        <v>0</v>
      </c>
      <c r="AS103" s="22">
        <f t="shared" si="150"/>
        <v>0</v>
      </c>
      <c r="AT103" s="22">
        <f t="shared" si="150"/>
        <v>0</v>
      </c>
      <c r="AU103" s="22">
        <f t="shared" si="150"/>
        <v>0</v>
      </c>
      <c r="AV103" s="22"/>
      <c r="AW103" s="22"/>
      <c r="AX103" s="22">
        <f t="shared" si="150"/>
        <v>0</v>
      </c>
      <c r="AY103" s="22">
        <f t="shared" si="150"/>
        <v>0</v>
      </c>
      <c r="AZ103" s="22">
        <f t="shared" si="150"/>
        <v>0</v>
      </c>
      <c r="BA103" s="22">
        <f t="shared" si="150"/>
        <v>0</v>
      </c>
      <c r="BB103" s="22">
        <f t="shared" si="150"/>
        <v>0</v>
      </c>
      <c r="BC103" s="22">
        <f t="shared" si="150"/>
        <v>0</v>
      </c>
      <c r="BD103" s="22">
        <f t="shared" si="150"/>
        <v>0</v>
      </c>
      <c r="BE103" s="22">
        <f t="shared" si="150"/>
        <v>0</v>
      </c>
      <c r="BF103" s="22">
        <f t="shared" si="150"/>
        <v>0</v>
      </c>
      <c r="BG103" s="22">
        <f t="shared" si="150"/>
        <v>0</v>
      </c>
      <c r="BH103" s="22">
        <f t="shared" si="150"/>
        <v>0</v>
      </c>
      <c r="BI103" s="22">
        <f t="shared" si="150"/>
        <v>0</v>
      </c>
      <c r="BJ103" s="22">
        <f t="shared" si="150"/>
        <v>0</v>
      </c>
      <c r="BK103" s="22">
        <f t="shared" si="150"/>
        <v>0</v>
      </c>
      <c r="BL103" s="22">
        <f t="shared" si="150"/>
        <v>0</v>
      </c>
      <c r="BM103" s="22">
        <f t="shared" si="150"/>
        <v>0</v>
      </c>
      <c r="BN103" s="22">
        <f t="shared" si="150"/>
        <v>0</v>
      </c>
      <c r="BO103" s="22">
        <f t="shared" si="150"/>
        <v>0</v>
      </c>
      <c r="BP103" s="22">
        <f t="shared" si="150"/>
        <v>0</v>
      </c>
      <c r="BQ103" s="22">
        <f t="shared" si="150"/>
        <v>0</v>
      </c>
      <c r="BR103" s="22">
        <f t="shared" si="150"/>
        <v>0</v>
      </c>
      <c r="BS103" s="22">
        <f t="shared" si="150"/>
        <v>0</v>
      </c>
      <c r="BT103" s="22">
        <f t="shared" si="150"/>
        <v>0</v>
      </c>
      <c r="BU103" s="22">
        <f t="shared" si="150"/>
        <v>0</v>
      </c>
      <c r="BV103" s="22">
        <f t="shared" si="150"/>
        <v>0</v>
      </c>
      <c r="BW103" s="22">
        <f t="shared" si="150"/>
        <v>0</v>
      </c>
      <c r="BX103" s="22">
        <f t="shared" si="150"/>
        <v>0</v>
      </c>
      <c r="BY103" s="22">
        <f t="shared" si="150"/>
        <v>0</v>
      </c>
      <c r="BZ103" s="22">
        <f t="shared" si="150"/>
        <v>0</v>
      </c>
      <c r="CA103" s="22">
        <f t="shared" si="150"/>
        <v>0</v>
      </c>
      <c r="CB103" s="22">
        <f t="shared" si="150"/>
        <v>0</v>
      </c>
      <c r="CC103" s="22">
        <f t="shared" si="150"/>
        <v>0</v>
      </c>
      <c r="CD103" s="22">
        <f t="shared" si="150"/>
        <v>0</v>
      </c>
      <c r="CE103" s="22">
        <f t="shared" si="150"/>
        <v>0</v>
      </c>
      <c r="CF103" s="22">
        <f t="shared" si="150"/>
        <v>0</v>
      </c>
      <c r="CG103" s="22">
        <f t="shared" si="150"/>
        <v>0</v>
      </c>
      <c r="CH103" s="22">
        <f t="shared" si="150"/>
        <v>0</v>
      </c>
      <c r="CI103" s="22">
        <f t="shared" si="150"/>
        <v>0</v>
      </c>
      <c r="CJ103" s="22">
        <f t="shared" si="150"/>
        <v>0</v>
      </c>
      <c r="CK103" s="22">
        <f t="shared" si="150"/>
        <v>0</v>
      </c>
      <c r="CL103" s="22">
        <f t="shared" si="150"/>
        <v>0</v>
      </c>
      <c r="CM103" s="22">
        <f t="shared" si="150"/>
        <v>0</v>
      </c>
      <c r="CN103" s="22">
        <f t="shared" si="150"/>
        <v>0</v>
      </c>
      <c r="CO103" s="22">
        <f t="shared" si="150"/>
        <v>0</v>
      </c>
      <c r="CP103" s="22"/>
      <c r="CQ103" s="22">
        <f t="shared" si="150"/>
        <v>0</v>
      </c>
      <c r="CR103" s="22">
        <f t="shared" si="150"/>
        <v>0</v>
      </c>
      <c r="CS103" s="22">
        <f t="shared" si="150"/>
        <v>0</v>
      </c>
      <c r="CT103" s="22">
        <f t="shared" si="150"/>
        <v>0</v>
      </c>
      <c r="CU103" s="22">
        <f t="shared" si="150"/>
        <v>0</v>
      </c>
      <c r="CV103" s="22">
        <f t="shared" si="150"/>
        <v>0</v>
      </c>
      <c r="CW103" s="22">
        <f t="shared" si="150"/>
        <v>0</v>
      </c>
      <c r="CX103" s="23">
        <f t="shared" si="150"/>
        <v>0</v>
      </c>
    </row>
    <row r="104" spans="1:102" ht="31.5" x14ac:dyDescent="0.25">
      <c r="A104" s="7"/>
      <c r="B104" s="8" t="s">
        <v>217</v>
      </c>
      <c r="C104" s="8" t="s">
        <v>1</v>
      </c>
      <c r="D104" s="9" t="s">
        <v>218</v>
      </c>
      <c r="E104" s="10">
        <f>SUM(E105:E106)</f>
        <v>6416033</v>
      </c>
      <c r="F104" s="11">
        <f t="shared" ref="F104:BW104" si="151">SUM(F105:F106)</f>
        <v>6416033</v>
      </c>
      <c r="G104" s="11">
        <f t="shared" si="151"/>
        <v>6416033</v>
      </c>
      <c r="H104" s="11">
        <f t="shared" si="151"/>
        <v>5187047</v>
      </c>
      <c r="I104" s="11">
        <f t="shared" si="151"/>
        <v>1228986</v>
      </c>
      <c r="J104" s="11">
        <f t="shared" si="151"/>
        <v>0</v>
      </c>
      <c r="K104" s="11">
        <f t="shared" si="151"/>
        <v>0</v>
      </c>
      <c r="L104" s="11">
        <f t="shared" si="151"/>
        <v>0</v>
      </c>
      <c r="M104" s="11">
        <f t="shared" si="151"/>
        <v>0</v>
      </c>
      <c r="N104" s="11">
        <f t="shared" si="151"/>
        <v>0</v>
      </c>
      <c r="O104" s="11">
        <f t="shared" si="151"/>
        <v>0</v>
      </c>
      <c r="P104" s="11">
        <f t="shared" si="151"/>
        <v>0</v>
      </c>
      <c r="Q104" s="11">
        <f t="shared" si="151"/>
        <v>0</v>
      </c>
      <c r="R104" s="11">
        <f t="shared" si="151"/>
        <v>0</v>
      </c>
      <c r="S104" s="11">
        <f t="shared" si="151"/>
        <v>0</v>
      </c>
      <c r="T104" s="11">
        <f t="shared" si="151"/>
        <v>0</v>
      </c>
      <c r="U104" s="11">
        <f t="shared" si="151"/>
        <v>0</v>
      </c>
      <c r="V104" s="11">
        <f t="shared" si="151"/>
        <v>0</v>
      </c>
      <c r="W104" s="11">
        <f t="shared" si="151"/>
        <v>0</v>
      </c>
      <c r="X104" s="11">
        <f t="shared" si="151"/>
        <v>0</v>
      </c>
      <c r="Y104" s="11">
        <f t="shared" si="151"/>
        <v>0</v>
      </c>
      <c r="Z104" s="11">
        <f t="shared" si="151"/>
        <v>0</v>
      </c>
      <c r="AA104" s="11">
        <f t="shared" si="151"/>
        <v>0</v>
      </c>
      <c r="AB104" s="11">
        <f t="shared" si="151"/>
        <v>0</v>
      </c>
      <c r="AC104" s="11">
        <f t="shared" si="151"/>
        <v>0</v>
      </c>
      <c r="AD104" s="11">
        <f t="shared" si="151"/>
        <v>0</v>
      </c>
      <c r="AE104" s="11">
        <f t="shared" si="151"/>
        <v>0</v>
      </c>
      <c r="AF104" s="11">
        <f t="shared" si="151"/>
        <v>0</v>
      </c>
      <c r="AG104" s="11">
        <f t="shared" si="151"/>
        <v>0</v>
      </c>
      <c r="AH104" s="11">
        <f t="shared" si="151"/>
        <v>0</v>
      </c>
      <c r="AI104" s="11">
        <f t="shared" si="151"/>
        <v>0</v>
      </c>
      <c r="AJ104" s="11">
        <f t="shared" si="151"/>
        <v>0</v>
      </c>
      <c r="AK104" s="11">
        <f t="shared" si="151"/>
        <v>0</v>
      </c>
      <c r="AL104" s="11">
        <f t="shared" si="151"/>
        <v>0</v>
      </c>
      <c r="AM104" s="11">
        <f t="shared" si="151"/>
        <v>0</v>
      </c>
      <c r="AN104" s="11">
        <f t="shared" si="151"/>
        <v>0</v>
      </c>
      <c r="AO104" s="11">
        <f t="shared" si="151"/>
        <v>0</v>
      </c>
      <c r="AP104" s="11">
        <f t="shared" si="151"/>
        <v>0</v>
      </c>
      <c r="AQ104" s="11">
        <f t="shared" si="151"/>
        <v>0</v>
      </c>
      <c r="AR104" s="11">
        <f t="shared" ref="AR104" si="152">SUM(AR105:AR106)</f>
        <v>0</v>
      </c>
      <c r="AS104" s="11">
        <f t="shared" si="151"/>
        <v>0</v>
      </c>
      <c r="AT104" s="11">
        <f t="shared" si="151"/>
        <v>0</v>
      </c>
      <c r="AU104" s="11">
        <f t="shared" si="151"/>
        <v>0</v>
      </c>
      <c r="AV104" s="11"/>
      <c r="AW104" s="11"/>
      <c r="AX104" s="11">
        <f t="shared" si="151"/>
        <v>0</v>
      </c>
      <c r="AY104" s="11">
        <f t="shared" si="151"/>
        <v>0</v>
      </c>
      <c r="AZ104" s="11">
        <f t="shared" si="151"/>
        <v>0</v>
      </c>
      <c r="BA104" s="11">
        <f t="shared" si="151"/>
        <v>0</v>
      </c>
      <c r="BB104" s="11">
        <f t="shared" si="151"/>
        <v>0</v>
      </c>
      <c r="BC104" s="11">
        <f t="shared" si="151"/>
        <v>0</v>
      </c>
      <c r="BD104" s="11">
        <f t="shared" si="151"/>
        <v>0</v>
      </c>
      <c r="BE104" s="11">
        <f t="shared" si="151"/>
        <v>0</v>
      </c>
      <c r="BF104" s="11">
        <f t="shared" si="151"/>
        <v>0</v>
      </c>
      <c r="BG104" s="11">
        <f t="shared" si="151"/>
        <v>0</v>
      </c>
      <c r="BH104" s="11">
        <f t="shared" si="151"/>
        <v>0</v>
      </c>
      <c r="BI104" s="11">
        <f t="shared" si="151"/>
        <v>0</v>
      </c>
      <c r="BJ104" s="11">
        <f t="shared" si="151"/>
        <v>0</v>
      </c>
      <c r="BK104" s="11">
        <f t="shared" si="151"/>
        <v>0</v>
      </c>
      <c r="BL104" s="11">
        <f t="shared" si="151"/>
        <v>0</v>
      </c>
      <c r="BM104" s="11">
        <f t="shared" si="151"/>
        <v>0</v>
      </c>
      <c r="BN104" s="11">
        <f t="shared" si="151"/>
        <v>0</v>
      </c>
      <c r="BO104" s="11">
        <f t="shared" si="151"/>
        <v>0</v>
      </c>
      <c r="BP104" s="11">
        <f t="shared" ref="BP104" si="153">SUM(BP105:BP106)</f>
        <v>0</v>
      </c>
      <c r="BQ104" s="11">
        <f t="shared" si="151"/>
        <v>0</v>
      </c>
      <c r="BR104" s="11">
        <f t="shared" si="151"/>
        <v>0</v>
      </c>
      <c r="BS104" s="11">
        <f t="shared" si="151"/>
        <v>0</v>
      </c>
      <c r="BT104" s="11">
        <f t="shared" si="151"/>
        <v>0</v>
      </c>
      <c r="BU104" s="11">
        <f t="shared" si="151"/>
        <v>0</v>
      </c>
      <c r="BV104" s="11">
        <f t="shared" si="151"/>
        <v>0</v>
      </c>
      <c r="BW104" s="11">
        <f t="shared" si="151"/>
        <v>0</v>
      </c>
      <c r="BX104" s="11">
        <f t="shared" ref="BX104:CX104" si="154">SUM(BX105:BX106)</f>
        <v>0</v>
      </c>
      <c r="BY104" s="11">
        <f t="shared" si="154"/>
        <v>0</v>
      </c>
      <c r="BZ104" s="11">
        <f t="shared" si="154"/>
        <v>0</v>
      </c>
      <c r="CA104" s="11">
        <f t="shared" si="154"/>
        <v>0</v>
      </c>
      <c r="CB104" s="11">
        <f t="shared" si="154"/>
        <v>0</v>
      </c>
      <c r="CC104" s="11">
        <f t="shared" si="154"/>
        <v>0</v>
      </c>
      <c r="CD104" s="11">
        <f t="shared" si="154"/>
        <v>0</v>
      </c>
      <c r="CE104" s="11">
        <f t="shared" si="154"/>
        <v>0</v>
      </c>
      <c r="CF104" s="11">
        <f t="shared" si="154"/>
        <v>0</v>
      </c>
      <c r="CG104" s="11">
        <f t="shared" si="154"/>
        <v>0</v>
      </c>
      <c r="CH104" s="11">
        <f t="shared" si="154"/>
        <v>0</v>
      </c>
      <c r="CI104" s="11">
        <f t="shared" si="154"/>
        <v>0</v>
      </c>
      <c r="CJ104" s="11">
        <f t="shared" si="154"/>
        <v>0</v>
      </c>
      <c r="CK104" s="11">
        <f t="shared" si="154"/>
        <v>0</v>
      </c>
      <c r="CL104" s="11">
        <f t="shared" si="154"/>
        <v>0</v>
      </c>
      <c r="CM104" s="11">
        <f t="shared" si="154"/>
        <v>0</v>
      </c>
      <c r="CN104" s="11">
        <f t="shared" si="154"/>
        <v>0</v>
      </c>
      <c r="CO104" s="11">
        <f t="shared" si="154"/>
        <v>0</v>
      </c>
      <c r="CP104" s="11"/>
      <c r="CQ104" s="11">
        <f t="shared" si="154"/>
        <v>0</v>
      </c>
      <c r="CR104" s="11">
        <f t="shared" si="154"/>
        <v>0</v>
      </c>
      <c r="CS104" s="11">
        <f t="shared" si="154"/>
        <v>0</v>
      </c>
      <c r="CT104" s="11">
        <f t="shared" si="154"/>
        <v>0</v>
      </c>
      <c r="CU104" s="11">
        <f t="shared" si="154"/>
        <v>0</v>
      </c>
      <c r="CV104" s="11">
        <f t="shared" si="154"/>
        <v>0</v>
      </c>
      <c r="CW104" s="11">
        <f t="shared" si="154"/>
        <v>0</v>
      </c>
      <c r="CX104" s="12">
        <f t="shared" si="154"/>
        <v>0</v>
      </c>
    </row>
    <row r="105" spans="1:102" ht="31.5" x14ac:dyDescent="0.25">
      <c r="A105" s="13" t="s">
        <v>1</v>
      </c>
      <c r="B105" s="14" t="s">
        <v>1</v>
      </c>
      <c r="C105" s="14" t="s">
        <v>94</v>
      </c>
      <c r="D105" s="15" t="s">
        <v>449</v>
      </c>
      <c r="E105" s="10">
        <f>SUM(F105+CC105+CU105)</f>
        <v>225759</v>
      </c>
      <c r="F105" s="11">
        <f>SUM(G105+BC105)</f>
        <v>225759</v>
      </c>
      <c r="G105" s="11">
        <f>SUM(H105+I105+J105+Q105+T105+U105+V105+AF105+AE105)</f>
        <v>225759</v>
      </c>
      <c r="H105" s="11">
        <f>171463+9145</f>
        <v>180608</v>
      </c>
      <c r="I105" s="11">
        <f>42865+2286</f>
        <v>45151</v>
      </c>
      <c r="J105" s="11">
        <f>SUM(K105:P105)</f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f t="shared" si="99"/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f t="shared" ref="V105:V106" si="155">SUM(W105:AD105)</f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f>SUM(AG105:BB105)</f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1"/>
      <c r="AW105" s="11"/>
      <c r="AX105" s="11">
        <v>0</v>
      </c>
      <c r="AY105" s="11">
        <v>0</v>
      </c>
      <c r="AZ105" s="11">
        <v>0</v>
      </c>
      <c r="BA105" s="11">
        <v>0</v>
      </c>
      <c r="BB105" s="11">
        <v>0</v>
      </c>
      <c r="BC105" s="11">
        <f>SUM(BD105+BH105+BL105+BN105+BQ105)</f>
        <v>0</v>
      </c>
      <c r="BD105" s="11">
        <f>SUM(BE105:BG105)</f>
        <v>0</v>
      </c>
      <c r="BE105" s="11">
        <v>0</v>
      </c>
      <c r="BF105" s="11">
        <v>0</v>
      </c>
      <c r="BG105" s="11">
        <v>0</v>
      </c>
      <c r="BH105" s="11">
        <f t="shared" si="100"/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f t="shared" si="101"/>
        <v>0</v>
      </c>
      <c r="BO105" s="11">
        <v>0</v>
      </c>
      <c r="BP105" s="11">
        <v>0</v>
      </c>
      <c r="BQ105" s="11">
        <f t="shared" si="102"/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v>0</v>
      </c>
      <c r="CC105" s="11">
        <f>SUM(CD105+CT105)</f>
        <v>0</v>
      </c>
      <c r="CD105" s="11">
        <f>SUM(CE105+CH105+CM105)</f>
        <v>0</v>
      </c>
      <c r="CE105" s="11">
        <f t="shared" si="103"/>
        <v>0</v>
      </c>
      <c r="CF105" s="11">
        <v>0</v>
      </c>
      <c r="CG105" s="11">
        <v>0</v>
      </c>
      <c r="CH105" s="11">
        <f>SUM(CI105:CL105)</f>
        <v>0</v>
      </c>
      <c r="CI105" s="11">
        <v>0</v>
      </c>
      <c r="CJ105" s="11">
        <v>0</v>
      </c>
      <c r="CK105" s="11">
        <v>0</v>
      </c>
      <c r="CL105" s="11">
        <v>0</v>
      </c>
      <c r="CM105" s="11">
        <f>SUM(CN105:CQ105)</f>
        <v>0</v>
      </c>
      <c r="CN105" s="11">
        <v>0</v>
      </c>
      <c r="CO105" s="11">
        <v>0</v>
      </c>
      <c r="CP105" s="11"/>
      <c r="CQ105" s="11">
        <v>0</v>
      </c>
      <c r="CR105" s="11">
        <v>0</v>
      </c>
      <c r="CS105" s="11">
        <v>0</v>
      </c>
      <c r="CT105" s="11">
        <v>0</v>
      </c>
      <c r="CU105" s="11">
        <f t="shared" si="104"/>
        <v>0</v>
      </c>
      <c r="CV105" s="11">
        <f t="shared" si="105"/>
        <v>0</v>
      </c>
      <c r="CW105" s="11">
        <v>0</v>
      </c>
      <c r="CX105" s="12">
        <v>0</v>
      </c>
    </row>
    <row r="106" spans="1:102" ht="15.75" x14ac:dyDescent="0.25">
      <c r="A106" s="13" t="s">
        <v>1</v>
      </c>
      <c r="B106" s="14" t="s">
        <v>1</v>
      </c>
      <c r="C106" s="14" t="s">
        <v>94</v>
      </c>
      <c r="D106" s="15" t="s">
        <v>219</v>
      </c>
      <c r="E106" s="10">
        <f>SUM(F106+CC106+CU106)</f>
        <v>6190274</v>
      </c>
      <c r="F106" s="11">
        <f>SUM(G106+BC106)</f>
        <v>6190274</v>
      </c>
      <c r="G106" s="11">
        <f>SUM(H106+I106+J106+Q106+T106+U106+V106+AF106+AE106)</f>
        <v>6190274</v>
      </c>
      <c r="H106" s="16">
        <f>4752948+253491</f>
        <v>5006439</v>
      </c>
      <c r="I106" s="16">
        <f>1120462+63373</f>
        <v>1183835</v>
      </c>
      <c r="J106" s="11">
        <f>SUM(K106:P106)</f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f t="shared" si="99"/>
        <v>0</v>
      </c>
      <c r="R106" s="11">
        <v>0</v>
      </c>
      <c r="S106" s="11">
        <v>0</v>
      </c>
      <c r="T106" s="11">
        <v>0</v>
      </c>
      <c r="U106" s="11"/>
      <c r="V106" s="11">
        <f t="shared" si="155"/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f>SUM(AG106:BB106)</f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/>
      <c r="AW106" s="11"/>
      <c r="AX106" s="11"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f>SUM(BD106+BH106+BL106+BN106+BQ106)</f>
        <v>0</v>
      </c>
      <c r="BD106" s="11">
        <f>SUM(BE106:BG106)</f>
        <v>0</v>
      </c>
      <c r="BE106" s="11">
        <v>0</v>
      </c>
      <c r="BF106" s="11">
        <v>0</v>
      </c>
      <c r="BG106" s="11">
        <v>0</v>
      </c>
      <c r="BH106" s="11">
        <f t="shared" si="100"/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v>0</v>
      </c>
      <c r="BN106" s="11">
        <f t="shared" si="101"/>
        <v>0</v>
      </c>
      <c r="BO106" s="11">
        <v>0</v>
      </c>
      <c r="BP106" s="11">
        <v>0</v>
      </c>
      <c r="BQ106" s="11">
        <f t="shared" si="102"/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v>0</v>
      </c>
      <c r="BW106" s="11"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v>0</v>
      </c>
      <c r="CC106" s="11">
        <f>SUM(CD106+CT106)</f>
        <v>0</v>
      </c>
      <c r="CD106" s="11">
        <f>SUM(CE106+CH106+CM106)</f>
        <v>0</v>
      </c>
      <c r="CE106" s="11">
        <f t="shared" si="103"/>
        <v>0</v>
      </c>
      <c r="CF106" s="11">
        <v>0</v>
      </c>
      <c r="CG106" s="11">
        <v>0</v>
      </c>
      <c r="CH106" s="11">
        <f>SUM(CI106:CL106)</f>
        <v>0</v>
      </c>
      <c r="CI106" s="11">
        <v>0</v>
      </c>
      <c r="CJ106" s="11">
        <v>0</v>
      </c>
      <c r="CK106" s="11">
        <v>0</v>
      </c>
      <c r="CL106" s="11">
        <v>0</v>
      </c>
      <c r="CM106" s="11">
        <f>SUM(CN106:CQ106)</f>
        <v>0</v>
      </c>
      <c r="CN106" s="11">
        <v>0</v>
      </c>
      <c r="CO106" s="11">
        <v>0</v>
      </c>
      <c r="CP106" s="11"/>
      <c r="CQ106" s="11">
        <v>0</v>
      </c>
      <c r="CR106" s="11">
        <v>0</v>
      </c>
      <c r="CS106" s="11">
        <v>0</v>
      </c>
      <c r="CT106" s="11">
        <v>0</v>
      </c>
      <c r="CU106" s="11">
        <f t="shared" si="104"/>
        <v>0</v>
      </c>
      <c r="CV106" s="11">
        <f t="shared" si="105"/>
        <v>0</v>
      </c>
      <c r="CW106" s="11">
        <v>0</v>
      </c>
      <c r="CX106" s="12">
        <v>0</v>
      </c>
    </row>
    <row r="107" spans="1:102" ht="47.25" x14ac:dyDescent="0.25">
      <c r="A107" s="18" t="s">
        <v>220</v>
      </c>
      <c r="B107" s="19" t="s">
        <v>1</v>
      </c>
      <c r="C107" s="19" t="s">
        <v>1</v>
      </c>
      <c r="D107" s="20" t="s">
        <v>221</v>
      </c>
      <c r="E107" s="21">
        <f>SUM(E108+E110)</f>
        <v>13548184</v>
      </c>
      <c r="F107" s="22">
        <f t="shared" ref="F107:BW107" si="156">SUM(F108+F110)</f>
        <v>13108019</v>
      </c>
      <c r="G107" s="22">
        <f t="shared" si="156"/>
        <v>4465936</v>
      </c>
      <c r="H107" s="22">
        <f t="shared" si="156"/>
        <v>3551189</v>
      </c>
      <c r="I107" s="22">
        <f t="shared" si="156"/>
        <v>825698</v>
      </c>
      <c r="J107" s="22">
        <f t="shared" si="156"/>
        <v>5198</v>
      </c>
      <c r="K107" s="22">
        <f t="shared" si="156"/>
        <v>0</v>
      </c>
      <c r="L107" s="22">
        <f t="shared" si="156"/>
        <v>0</v>
      </c>
      <c r="M107" s="22">
        <f t="shared" si="156"/>
        <v>0</v>
      </c>
      <c r="N107" s="22">
        <f t="shared" si="156"/>
        <v>0</v>
      </c>
      <c r="O107" s="22">
        <f t="shared" si="156"/>
        <v>5198</v>
      </c>
      <c r="P107" s="22">
        <f t="shared" si="156"/>
        <v>0</v>
      </c>
      <c r="Q107" s="22">
        <f t="shared" si="156"/>
        <v>0</v>
      </c>
      <c r="R107" s="22">
        <f t="shared" si="156"/>
        <v>0</v>
      </c>
      <c r="S107" s="22">
        <f t="shared" si="156"/>
        <v>0</v>
      </c>
      <c r="T107" s="22">
        <f t="shared" si="156"/>
        <v>0</v>
      </c>
      <c r="U107" s="22">
        <f t="shared" si="156"/>
        <v>35340</v>
      </c>
      <c r="V107" s="22">
        <f t="shared" si="156"/>
        <v>48511</v>
      </c>
      <c r="W107" s="22">
        <f t="shared" si="156"/>
        <v>0</v>
      </c>
      <c r="X107" s="22">
        <f t="shared" si="156"/>
        <v>11124</v>
      </c>
      <c r="Y107" s="22">
        <f t="shared" si="156"/>
        <v>37003</v>
      </c>
      <c r="Z107" s="22">
        <f t="shared" si="156"/>
        <v>384</v>
      </c>
      <c r="AA107" s="22">
        <f t="shared" si="156"/>
        <v>0</v>
      </c>
      <c r="AB107" s="22">
        <f t="shared" si="156"/>
        <v>0</v>
      </c>
      <c r="AC107" s="22">
        <f t="shared" si="156"/>
        <v>0</v>
      </c>
      <c r="AD107" s="22">
        <f t="shared" si="156"/>
        <v>0</v>
      </c>
      <c r="AE107" s="22">
        <f t="shared" si="156"/>
        <v>0</v>
      </c>
      <c r="AF107" s="22">
        <f t="shared" si="156"/>
        <v>0</v>
      </c>
      <c r="AG107" s="22">
        <f t="shared" si="156"/>
        <v>0</v>
      </c>
      <c r="AH107" s="22">
        <f t="shared" si="156"/>
        <v>0</v>
      </c>
      <c r="AI107" s="22">
        <f t="shared" si="156"/>
        <v>0</v>
      </c>
      <c r="AJ107" s="22">
        <f t="shared" si="156"/>
        <v>0</v>
      </c>
      <c r="AK107" s="22">
        <f t="shared" si="156"/>
        <v>0</v>
      </c>
      <c r="AL107" s="22">
        <f t="shared" si="156"/>
        <v>0</v>
      </c>
      <c r="AM107" s="22">
        <f t="shared" si="156"/>
        <v>0</v>
      </c>
      <c r="AN107" s="22">
        <f t="shared" si="156"/>
        <v>0</v>
      </c>
      <c r="AO107" s="22">
        <f t="shared" si="156"/>
        <v>0</v>
      </c>
      <c r="AP107" s="22">
        <f t="shared" si="156"/>
        <v>0</v>
      </c>
      <c r="AQ107" s="22">
        <f t="shared" si="156"/>
        <v>0</v>
      </c>
      <c r="AR107" s="22">
        <f t="shared" ref="AR107" si="157">SUM(AR108+AR110)</f>
        <v>0</v>
      </c>
      <c r="AS107" s="22">
        <f t="shared" si="156"/>
        <v>0</v>
      </c>
      <c r="AT107" s="22">
        <f t="shared" si="156"/>
        <v>0</v>
      </c>
      <c r="AU107" s="22">
        <f t="shared" si="156"/>
        <v>0</v>
      </c>
      <c r="AV107" s="22"/>
      <c r="AW107" s="22"/>
      <c r="AX107" s="22">
        <f t="shared" si="156"/>
        <v>0</v>
      </c>
      <c r="AY107" s="22">
        <f t="shared" si="156"/>
        <v>0</v>
      </c>
      <c r="AZ107" s="22">
        <f t="shared" si="156"/>
        <v>0</v>
      </c>
      <c r="BA107" s="22">
        <f t="shared" si="156"/>
        <v>0</v>
      </c>
      <c r="BB107" s="22">
        <f t="shared" si="156"/>
        <v>0</v>
      </c>
      <c r="BC107" s="22">
        <f t="shared" si="156"/>
        <v>8642083</v>
      </c>
      <c r="BD107" s="22">
        <f t="shared" si="156"/>
        <v>0</v>
      </c>
      <c r="BE107" s="22">
        <f t="shared" si="156"/>
        <v>0</v>
      </c>
      <c r="BF107" s="22">
        <f t="shared" si="156"/>
        <v>0</v>
      </c>
      <c r="BG107" s="22">
        <f t="shared" si="156"/>
        <v>0</v>
      </c>
      <c r="BH107" s="22">
        <f t="shared" si="156"/>
        <v>8642083</v>
      </c>
      <c r="BI107" s="22">
        <f t="shared" si="156"/>
        <v>0</v>
      </c>
      <c r="BJ107" s="22">
        <f t="shared" si="156"/>
        <v>8642083</v>
      </c>
      <c r="BK107" s="22">
        <f t="shared" si="156"/>
        <v>0</v>
      </c>
      <c r="BL107" s="22">
        <f t="shared" si="156"/>
        <v>0</v>
      </c>
      <c r="BM107" s="22">
        <f t="shared" si="156"/>
        <v>0</v>
      </c>
      <c r="BN107" s="22">
        <f t="shared" si="156"/>
        <v>0</v>
      </c>
      <c r="BO107" s="22">
        <f t="shared" si="156"/>
        <v>0</v>
      </c>
      <c r="BP107" s="22">
        <f t="shared" ref="BP107" si="158">SUM(BP108+BP110)</f>
        <v>0</v>
      </c>
      <c r="BQ107" s="22">
        <f t="shared" si="156"/>
        <v>0</v>
      </c>
      <c r="BR107" s="22">
        <f t="shared" si="156"/>
        <v>0</v>
      </c>
      <c r="BS107" s="22">
        <f t="shared" si="156"/>
        <v>0</v>
      </c>
      <c r="BT107" s="22">
        <f t="shared" si="156"/>
        <v>0</v>
      </c>
      <c r="BU107" s="22">
        <f t="shared" si="156"/>
        <v>0</v>
      </c>
      <c r="BV107" s="22">
        <f t="shared" si="156"/>
        <v>0</v>
      </c>
      <c r="BW107" s="22">
        <f t="shared" si="156"/>
        <v>0</v>
      </c>
      <c r="BX107" s="22">
        <f t="shared" ref="BX107:CX107" si="159">SUM(BX108+BX110)</f>
        <v>0</v>
      </c>
      <c r="BY107" s="22">
        <f t="shared" si="159"/>
        <v>0</v>
      </c>
      <c r="BZ107" s="22">
        <f t="shared" si="159"/>
        <v>0</v>
      </c>
      <c r="CA107" s="22">
        <f t="shared" si="159"/>
        <v>0</v>
      </c>
      <c r="CB107" s="22">
        <f t="shared" si="159"/>
        <v>0</v>
      </c>
      <c r="CC107" s="22">
        <f t="shared" si="159"/>
        <v>440165</v>
      </c>
      <c r="CD107" s="22">
        <f t="shared" si="159"/>
        <v>440165</v>
      </c>
      <c r="CE107" s="22">
        <f t="shared" si="159"/>
        <v>440165</v>
      </c>
      <c r="CF107" s="22">
        <f t="shared" si="159"/>
        <v>0</v>
      </c>
      <c r="CG107" s="22">
        <f t="shared" si="159"/>
        <v>440165</v>
      </c>
      <c r="CH107" s="22">
        <f t="shared" si="159"/>
        <v>0</v>
      </c>
      <c r="CI107" s="22">
        <f t="shared" si="159"/>
        <v>0</v>
      </c>
      <c r="CJ107" s="22">
        <f t="shared" si="159"/>
        <v>0</v>
      </c>
      <c r="CK107" s="22">
        <f t="shared" si="159"/>
        <v>0</v>
      </c>
      <c r="CL107" s="22">
        <f t="shared" si="159"/>
        <v>0</v>
      </c>
      <c r="CM107" s="22">
        <f t="shared" si="159"/>
        <v>0</v>
      </c>
      <c r="CN107" s="22">
        <f t="shared" si="159"/>
        <v>0</v>
      </c>
      <c r="CO107" s="22">
        <f t="shared" si="159"/>
        <v>0</v>
      </c>
      <c r="CP107" s="22"/>
      <c r="CQ107" s="22">
        <f t="shared" si="159"/>
        <v>0</v>
      </c>
      <c r="CR107" s="22">
        <f t="shared" si="159"/>
        <v>0</v>
      </c>
      <c r="CS107" s="22">
        <f t="shared" si="159"/>
        <v>0</v>
      </c>
      <c r="CT107" s="22">
        <f t="shared" si="159"/>
        <v>0</v>
      </c>
      <c r="CU107" s="22">
        <f t="shared" si="159"/>
        <v>0</v>
      </c>
      <c r="CV107" s="22">
        <f t="shared" si="159"/>
        <v>0</v>
      </c>
      <c r="CW107" s="22">
        <f t="shared" si="159"/>
        <v>0</v>
      </c>
      <c r="CX107" s="23">
        <f t="shared" si="159"/>
        <v>0</v>
      </c>
    </row>
    <row r="108" spans="1:102" ht="15.75" x14ac:dyDescent="0.25">
      <c r="A108" s="7"/>
      <c r="B108" s="8" t="s">
        <v>222</v>
      </c>
      <c r="C108" s="8" t="s">
        <v>1</v>
      </c>
      <c r="D108" s="9" t="s">
        <v>223</v>
      </c>
      <c r="E108" s="10">
        <f>SUM(E109)</f>
        <v>8642083</v>
      </c>
      <c r="F108" s="11">
        <f t="shared" ref="F108:BW108" si="160">SUM(F109)</f>
        <v>8642083</v>
      </c>
      <c r="G108" s="11">
        <f t="shared" si="160"/>
        <v>0</v>
      </c>
      <c r="H108" s="11">
        <f t="shared" si="160"/>
        <v>0</v>
      </c>
      <c r="I108" s="11">
        <f t="shared" si="160"/>
        <v>0</v>
      </c>
      <c r="J108" s="11">
        <f t="shared" si="160"/>
        <v>0</v>
      </c>
      <c r="K108" s="11">
        <f t="shared" si="160"/>
        <v>0</v>
      </c>
      <c r="L108" s="11">
        <f t="shared" si="160"/>
        <v>0</v>
      </c>
      <c r="M108" s="11">
        <f t="shared" si="160"/>
        <v>0</v>
      </c>
      <c r="N108" s="11">
        <f t="shared" si="160"/>
        <v>0</v>
      </c>
      <c r="O108" s="11">
        <f t="shared" si="160"/>
        <v>0</v>
      </c>
      <c r="P108" s="11">
        <f t="shared" si="160"/>
        <v>0</v>
      </c>
      <c r="Q108" s="11">
        <f t="shared" si="160"/>
        <v>0</v>
      </c>
      <c r="R108" s="11">
        <f t="shared" si="160"/>
        <v>0</v>
      </c>
      <c r="S108" s="11">
        <f t="shared" si="160"/>
        <v>0</v>
      </c>
      <c r="T108" s="11">
        <f t="shared" si="160"/>
        <v>0</v>
      </c>
      <c r="U108" s="11">
        <f t="shared" si="160"/>
        <v>0</v>
      </c>
      <c r="V108" s="11">
        <f t="shared" si="160"/>
        <v>0</v>
      </c>
      <c r="W108" s="11">
        <f t="shared" si="160"/>
        <v>0</v>
      </c>
      <c r="X108" s="11">
        <f t="shared" si="160"/>
        <v>0</v>
      </c>
      <c r="Y108" s="11">
        <f t="shared" si="160"/>
        <v>0</v>
      </c>
      <c r="Z108" s="11">
        <f t="shared" si="160"/>
        <v>0</v>
      </c>
      <c r="AA108" s="11">
        <f t="shared" si="160"/>
        <v>0</v>
      </c>
      <c r="AB108" s="11">
        <f t="shared" si="160"/>
        <v>0</v>
      </c>
      <c r="AC108" s="11">
        <f t="shared" si="160"/>
        <v>0</v>
      </c>
      <c r="AD108" s="11">
        <f t="shared" si="160"/>
        <v>0</v>
      </c>
      <c r="AE108" s="11">
        <f t="shared" si="160"/>
        <v>0</v>
      </c>
      <c r="AF108" s="11">
        <f t="shared" si="160"/>
        <v>0</v>
      </c>
      <c r="AG108" s="11">
        <f t="shared" si="160"/>
        <v>0</v>
      </c>
      <c r="AH108" s="11">
        <f t="shared" si="160"/>
        <v>0</v>
      </c>
      <c r="AI108" s="11">
        <f t="shared" si="160"/>
        <v>0</v>
      </c>
      <c r="AJ108" s="11">
        <f t="shared" si="160"/>
        <v>0</v>
      </c>
      <c r="AK108" s="11">
        <f t="shared" si="160"/>
        <v>0</v>
      </c>
      <c r="AL108" s="11">
        <f t="shared" si="160"/>
        <v>0</v>
      </c>
      <c r="AM108" s="11">
        <f t="shared" si="160"/>
        <v>0</v>
      </c>
      <c r="AN108" s="11">
        <f t="shared" si="160"/>
        <v>0</v>
      </c>
      <c r="AO108" s="11">
        <f t="shared" si="160"/>
        <v>0</v>
      </c>
      <c r="AP108" s="11">
        <f t="shared" si="160"/>
        <v>0</v>
      </c>
      <c r="AQ108" s="11">
        <f t="shared" si="160"/>
        <v>0</v>
      </c>
      <c r="AR108" s="11">
        <f t="shared" si="160"/>
        <v>0</v>
      </c>
      <c r="AS108" s="11">
        <f t="shared" si="160"/>
        <v>0</v>
      </c>
      <c r="AT108" s="11">
        <f t="shared" si="160"/>
        <v>0</v>
      </c>
      <c r="AU108" s="11">
        <f t="shared" si="160"/>
        <v>0</v>
      </c>
      <c r="AV108" s="11"/>
      <c r="AW108" s="11"/>
      <c r="AX108" s="11">
        <f t="shared" si="160"/>
        <v>0</v>
      </c>
      <c r="AY108" s="11">
        <f t="shared" si="160"/>
        <v>0</v>
      </c>
      <c r="AZ108" s="11">
        <f t="shared" si="160"/>
        <v>0</v>
      </c>
      <c r="BA108" s="11">
        <f t="shared" si="160"/>
        <v>0</v>
      </c>
      <c r="BB108" s="11">
        <f t="shared" si="160"/>
        <v>0</v>
      </c>
      <c r="BC108" s="11">
        <f t="shared" si="160"/>
        <v>8642083</v>
      </c>
      <c r="BD108" s="11">
        <f t="shared" si="160"/>
        <v>0</v>
      </c>
      <c r="BE108" s="11">
        <f t="shared" si="160"/>
        <v>0</v>
      </c>
      <c r="BF108" s="11">
        <f t="shared" si="160"/>
        <v>0</v>
      </c>
      <c r="BG108" s="11">
        <f t="shared" si="160"/>
        <v>0</v>
      </c>
      <c r="BH108" s="11">
        <f t="shared" si="160"/>
        <v>8642083</v>
      </c>
      <c r="BI108" s="11">
        <f t="shared" si="160"/>
        <v>0</v>
      </c>
      <c r="BJ108" s="11">
        <f t="shared" si="160"/>
        <v>8642083</v>
      </c>
      <c r="BK108" s="11">
        <f t="shared" si="160"/>
        <v>0</v>
      </c>
      <c r="BL108" s="11">
        <f t="shared" si="160"/>
        <v>0</v>
      </c>
      <c r="BM108" s="11">
        <f t="shared" si="160"/>
        <v>0</v>
      </c>
      <c r="BN108" s="11">
        <f t="shared" si="160"/>
        <v>0</v>
      </c>
      <c r="BO108" s="11">
        <f t="shared" si="160"/>
        <v>0</v>
      </c>
      <c r="BP108" s="11">
        <f t="shared" si="160"/>
        <v>0</v>
      </c>
      <c r="BQ108" s="11">
        <f t="shared" si="160"/>
        <v>0</v>
      </c>
      <c r="BR108" s="11">
        <f t="shared" si="160"/>
        <v>0</v>
      </c>
      <c r="BS108" s="11">
        <f t="shared" si="160"/>
        <v>0</v>
      </c>
      <c r="BT108" s="11">
        <f t="shared" si="160"/>
        <v>0</v>
      </c>
      <c r="BU108" s="11">
        <f t="shared" si="160"/>
        <v>0</v>
      </c>
      <c r="BV108" s="11">
        <f t="shared" si="160"/>
        <v>0</v>
      </c>
      <c r="BW108" s="11">
        <f t="shared" si="160"/>
        <v>0</v>
      </c>
      <c r="BX108" s="11">
        <f t="shared" ref="BX108:CX108" si="161">SUM(BX109)</f>
        <v>0</v>
      </c>
      <c r="BY108" s="11">
        <f t="shared" si="161"/>
        <v>0</v>
      </c>
      <c r="BZ108" s="11">
        <f t="shared" si="161"/>
        <v>0</v>
      </c>
      <c r="CA108" s="11">
        <f t="shared" si="161"/>
        <v>0</v>
      </c>
      <c r="CB108" s="11">
        <f t="shared" si="161"/>
        <v>0</v>
      </c>
      <c r="CC108" s="11">
        <f t="shared" si="161"/>
        <v>0</v>
      </c>
      <c r="CD108" s="11">
        <f t="shared" si="161"/>
        <v>0</v>
      </c>
      <c r="CE108" s="11">
        <f t="shared" si="161"/>
        <v>0</v>
      </c>
      <c r="CF108" s="11">
        <f t="shared" si="161"/>
        <v>0</v>
      </c>
      <c r="CG108" s="11">
        <f t="shared" si="161"/>
        <v>0</v>
      </c>
      <c r="CH108" s="11">
        <f t="shared" si="161"/>
        <v>0</v>
      </c>
      <c r="CI108" s="11">
        <f t="shared" si="161"/>
        <v>0</v>
      </c>
      <c r="CJ108" s="11">
        <f t="shared" si="161"/>
        <v>0</v>
      </c>
      <c r="CK108" s="11">
        <f t="shared" si="161"/>
        <v>0</v>
      </c>
      <c r="CL108" s="11">
        <f t="shared" si="161"/>
        <v>0</v>
      </c>
      <c r="CM108" s="11">
        <f t="shared" si="161"/>
        <v>0</v>
      </c>
      <c r="CN108" s="11">
        <f t="shared" si="161"/>
        <v>0</v>
      </c>
      <c r="CO108" s="11">
        <f t="shared" si="161"/>
        <v>0</v>
      </c>
      <c r="CP108" s="11"/>
      <c r="CQ108" s="11">
        <f t="shared" si="161"/>
        <v>0</v>
      </c>
      <c r="CR108" s="11">
        <f t="shared" si="161"/>
        <v>0</v>
      </c>
      <c r="CS108" s="11">
        <f t="shared" si="161"/>
        <v>0</v>
      </c>
      <c r="CT108" s="11">
        <f t="shared" si="161"/>
        <v>0</v>
      </c>
      <c r="CU108" s="11">
        <f t="shared" si="161"/>
        <v>0</v>
      </c>
      <c r="CV108" s="11">
        <f t="shared" si="161"/>
        <v>0</v>
      </c>
      <c r="CW108" s="11">
        <f t="shared" si="161"/>
        <v>0</v>
      </c>
      <c r="CX108" s="12">
        <f t="shared" si="161"/>
        <v>0</v>
      </c>
    </row>
    <row r="109" spans="1:102" ht="31.5" x14ac:dyDescent="0.25">
      <c r="A109" s="13"/>
      <c r="B109" s="14" t="s">
        <v>1</v>
      </c>
      <c r="C109" s="14" t="s">
        <v>94</v>
      </c>
      <c r="D109" s="15" t="s">
        <v>450</v>
      </c>
      <c r="E109" s="10">
        <f>SUM(F109+CC109+CU109)</f>
        <v>8642083</v>
      </c>
      <c r="F109" s="11">
        <f>SUM(G109+BC109)</f>
        <v>8642083</v>
      </c>
      <c r="G109" s="11">
        <f>SUM(H109+I109+J109+Q109+T109+U109+V109+AF109+AE109)</f>
        <v>0</v>
      </c>
      <c r="H109" s="11">
        <v>0</v>
      </c>
      <c r="I109" s="11">
        <v>0</v>
      </c>
      <c r="J109" s="11">
        <f>SUM(K109:P109)</f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f t="shared" si="99"/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f>SUM(W109:AD109)</f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f>SUM(AG109:BB109)</f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0</v>
      </c>
      <c r="AV109" s="11"/>
      <c r="AW109" s="11"/>
      <c r="AX109" s="11">
        <v>0</v>
      </c>
      <c r="AY109" s="11">
        <v>0</v>
      </c>
      <c r="AZ109" s="11">
        <v>0</v>
      </c>
      <c r="BA109" s="11">
        <v>0</v>
      </c>
      <c r="BB109" s="11">
        <v>0</v>
      </c>
      <c r="BC109" s="11">
        <f>SUM(BD109+BH109+BL109+BN109+BQ109)</f>
        <v>8642083</v>
      </c>
      <c r="BD109" s="11">
        <f>SUM(BE109:BG109)</f>
        <v>0</v>
      </c>
      <c r="BE109" s="11">
        <v>0</v>
      </c>
      <c r="BF109" s="11">
        <v>0</v>
      </c>
      <c r="BG109" s="11">
        <v>0</v>
      </c>
      <c r="BH109" s="11">
        <f t="shared" si="100"/>
        <v>8642083</v>
      </c>
      <c r="BI109" s="11"/>
      <c r="BJ109" s="11">
        <v>8642083</v>
      </c>
      <c r="BK109" s="11">
        <v>0</v>
      </c>
      <c r="BL109" s="11">
        <v>0</v>
      </c>
      <c r="BM109" s="11">
        <v>0</v>
      </c>
      <c r="BN109" s="11">
        <f t="shared" si="101"/>
        <v>0</v>
      </c>
      <c r="BO109" s="11">
        <v>0</v>
      </c>
      <c r="BP109" s="11">
        <v>0</v>
      </c>
      <c r="BQ109" s="11">
        <f t="shared" si="102"/>
        <v>0</v>
      </c>
      <c r="BR109" s="11">
        <v>0</v>
      </c>
      <c r="BS109" s="11">
        <v>0</v>
      </c>
      <c r="BT109" s="11">
        <v>0</v>
      </c>
      <c r="BU109" s="11">
        <v>0</v>
      </c>
      <c r="BV109" s="11">
        <v>0</v>
      </c>
      <c r="BW109" s="11">
        <v>0</v>
      </c>
      <c r="BX109" s="11">
        <v>0</v>
      </c>
      <c r="BY109" s="11">
        <v>0</v>
      </c>
      <c r="BZ109" s="11">
        <v>0</v>
      </c>
      <c r="CA109" s="11">
        <v>0</v>
      </c>
      <c r="CB109" s="11">
        <v>0</v>
      </c>
      <c r="CC109" s="11">
        <f>SUM(CD109+CT109)</f>
        <v>0</v>
      </c>
      <c r="CD109" s="11">
        <f>SUM(CE109+CH109+CM109)</f>
        <v>0</v>
      </c>
      <c r="CE109" s="11">
        <f t="shared" si="103"/>
        <v>0</v>
      </c>
      <c r="CF109" s="11">
        <v>0</v>
      </c>
      <c r="CG109" s="11">
        <v>0</v>
      </c>
      <c r="CH109" s="11">
        <f>SUM(CI109:CL109)</f>
        <v>0</v>
      </c>
      <c r="CI109" s="11">
        <v>0</v>
      </c>
      <c r="CJ109" s="11">
        <v>0</v>
      </c>
      <c r="CK109" s="11">
        <v>0</v>
      </c>
      <c r="CL109" s="11">
        <v>0</v>
      </c>
      <c r="CM109" s="11">
        <f>SUM(CN109:CQ109)</f>
        <v>0</v>
      </c>
      <c r="CN109" s="11">
        <v>0</v>
      </c>
      <c r="CO109" s="11">
        <v>0</v>
      </c>
      <c r="CP109" s="11"/>
      <c r="CQ109" s="11">
        <v>0</v>
      </c>
      <c r="CR109" s="11">
        <v>0</v>
      </c>
      <c r="CS109" s="11">
        <v>0</v>
      </c>
      <c r="CT109" s="11">
        <v>0</v>
      </c>
      <c r="CU109" s="11">
        <f t="shared" si="104"/>
        <v>0</v>
      </c>
      <c r="CV109" s="11">
        <f t="shared" si="105"/>
        <v>0</v>
      </c>
      <c r="CW109" s="11">
        <v>0</v>
      </c>
      <c r="CX109" s="12">
        <v>0</v>
      </c>
    </row>
    <row r="110" spans="1:102" ht="15.75" x14ac:dyDescent="0.25">
      <c r="A110" s="7"/>
      <c r="B110" s="8" t="s">
        <v>224</v>
      </c>
      <c r="C110" s="8" t="s">
        <v>1</v>
      </c>
      <c r="D110" s="9" t="s">
        <v>225</v>
      </c>
      <c r="E110" s="10">
        <f t="shared" ref="E110:AL110" si="162">SUM(E111)</f>
        <v>4906101</v>
      </c>
      <c r="F110" s="11">
        <f t="shared" si="162"/>
        <v>4465936</v>
      </c>
      <c r="G110" s="11">
        <f t="shared" si="162"/>
        <v>4465936</v>
      </c>
      <c r="H110" s="11">
        <f t="shared" si="162"/>
        <v>3551189</v>
      </c>
      <c r="I110" s="11">
        <f t="shared" si="162"/>
        <v>825698</v>
      </c>
      <c r="J110" s="11">
        <f t="shared" si="162"/>
        <v>5198</v>
      </c>
      <c r="K110" s="11">
        <f t="shared" si="162"/>
        <v>0</v>
      </c>
      <c r="L110" s="11">
        <f t="shared" si="162"/>
        <v>0</v>
      </c>
      <c r="M110" s="11">
        <f t="shared" si="162"/>
        <v>0</v>
      </c>
      <c r="N110" s="11">
        <f t="shared" si="162"/>
        <v>0</v>
      </c>
      <c r="O110" s="11">
        <f t="shared" si="162"/>
        <v>5198</v>
      </c>
      <c r="P110" s="11">
        <f t="shared" si="162"/>
        <v>0</v>
      </c>
      <c r="Q110" s="11">
        <f t="shared" si="162"/>
        <v>0</v>
      </c>
      <c r="R110" s="11">
        <f t="shared" si="162"/>
        <v>0</v>
      </c>
      <c r="S110" s="11">
        <f t="shared" si="162"/>
        <v>0</v>
      </c>
      <c r="T110" s="11">
        <f t="shared" si="162"/>
        <v>0</v>
      </c>
      <c r="U110" s="11">
        <f t="shared" si="162"/>
        <v>35340</v>
      </c>
      <c r="V110" s="11">
        <f t="shared" si="162"/>
        <v>48511</v>
      </c>
      <c r="W110" s="11">
        <f t="shared" si="162"/>
        <v>0</v>
      </c>
      <c r="X110" s="11">
        <f t="shared" si="162"/>
        <v>11124</v>
      </c>
      <c r="Y110" s="11">
        <f t="shared" si="162"/>
        <v>37003</v>
      </c>
      <c r="Z110" s="11">
        <f t="shared" si="162"/>
        <v>384</v>
      </c>
      <c r="AA110" s="11">
        <f t="shared" si="162"/>
        <v>0</v>
      </c>
      <c r="AB110" s="11">
        <f t="shared" si="162"/>
        <v>0</v>
      </c>
      <c r="AC110" s="11">
        <f t="shared" si="162"/>
        <v>0</v>
      </c>
      <c r="AD110" s="11">
        <f t="shared" si="162"/>
        <v>0</v>
      </c>
      <c r="AE110" s="11">
        <f t="shared" si="162"/>
        <v>0</v>
      </c>
      <c r="AF110" s="11">
        <f t="shared" si="162"/>
        <v>0</v>
      </c>
      <c r="AG110" s="11">
        <f t="shared" si="162"/>
        <v>0</v>
      </c>
      <c r="AH110" s="11">
        <f t="shared" si="162"/>
        <v>0</v>
      </c>
      <c r="AI110" s="11">
        <f t="shared" si="162"/>
        <v>0</v>
      </c>
      <c r="AJ110" s="11">
        <f t="shared" si="162"/>
        <v>0</v>
      </c>
      <c r="AK110" s="11">
        <f t="shared" si="162"/>
        <v>0</v>
      </c>
      <c r="AL110" s="11">
        <f t="shared" si="162"/>
        <v>0</v>
      </c>
      <c r="AM110" s="11">
        <f t="shared" ref="AM110:CX110" si="163">SUM(AM111)</f>
        <v>0</v>
      </c>
      <c r="AN110" s="11">
        <f t="shared" si="163"/>
        <v>0</v>
      </c>
      <c r="AO110" s="11">
        <f t="shared" si="163"/>
        <v>0</v>
      </c>
      <c r="AP110" s="11">
        <f t="shared" si="163"/>
        <v>0</v>
      </c>
      <c r="AQ110" s="11">
        <f t="shared" si="163"/>
        <v>0</v>
      </c>
      <c r="AR110" s="11">
        <f t="shared" si="163"/>
        <v>0</v>
      </c>
      <c r="AS110" s="11">
        <f t="shared" si="163"/>
        <v>0</v>
      </c>
      <c r="AT110" s="11">
        <f t="shared" si="163"/>
        <v>0</v>
      </c>
      <c r="AU110" s="11">
        <f t="shared" si="163"/>
        <v>0</v>
      </c>
      <c r="AV110" s="11"/>
      <c r="AW110" s="11"/>
      <c r="AX110" s="11">
        <f t="shared" si="163"/>
        <v>0</v>
      </c>
      <c r="AY110" s="11">
        <f t="shared" si="163"/>
        <v>0</v>
      </c>
      <c r="AZ110" s="11">
        <f t="shared" si="163"/>
        <v>0</v>
      </c>
      <c r="BA110" s="11">
        <f t="shared" si="163"/>
        <v>0</v>
      </c>
      <c r="BB110" s="11">
        <f t="shared" si="163"/>
        <v>0</v>
      </c>
      <c r="BC110" s="11">
        <f t="shared" si="163"/>
        <v>0</v>
      </c>
      <c r="BD110" s="11">
        <f t="shared" si="163"/>
        <v>0</v>
      </c>
      <c r="BE110" s="11">
        <f t="shared" si="163"/>
        <v>0</v>
      </c>
      <c r="BF110" s="11">
        <f t="shared" si="163"/>
        <v>0</v>
      </c>
      <c r="BG110" s="11">
        <f t="shared" si="163"/>
        <v>0</v>
      </c>
      <c r="BH110" s="11">
        <f t="shared" si="163"/>
        <v>0</v>
      </c>
      <c r="BI110" s="11">
        <f t="shared" si="163"/>
        <v>0</v>
      </c>
      <c r="BJ110" s="11">
        <f t="shared" si="163"/>
        <v>0</v>
      </c>
      <c r="BK110" s="11">
        <f t="shared" si="163"/>
        <v>0</v>
      </c>
      <c r="BL110" s="11">
        <f t="shared" si="163"/>
        <v>0</v>
      </c>
      <c r="BM110" s="11">
        <f t="shared" si="163"/>
        <v>0</v>
      </c>
      <c r="BN110" s="11">
        <f t="shared" si="163"/>
        <v>0</v>
      </c>
      <c r="BO110" s="11">
        <f t="shared" si="163"/>
        <v>0</v>
      </c>
      <c r="BP110" s="11">
        <f t="shared" si="163"/>
        <v>0</v>
      </c>
      <c r="BQ110" s="11">
        <f t="shared" si="163"/>
        <v>0</v>
      </c>
      <c r="BR110" s="11">
        <f t="shared" si="163"/>
        <v>0</v>
      </c>
      <c r="BS110" s="11">
        <f t="shared" si="163"/>
        <v>0</v>
      </c>
      <c r="BT110" s="11">
        <f t="shared" si="163"/>
        <v>0</v>
      </c>
      <c r="BU110" s="11">
        <f t="shared" si="163"/>
        <v>0</v>
      </c>
      <c r="BV110" s="11">
        <f t="shared" si="163"/>
        <v>0</v>
      </c>
      <c r="BW110" s="11">
        <f t="shared" si="163"/>
        <v>0</v>
      </c>
      <c r="BX110" s="11">
        <f t="shared" si="163"/>
        <v>0</v>
      </c>
      <c r="BY110" s="11">
        <f t="shared" si="163"/>
        <v>0</v>
      </c>
      <c r="BZ110" s="11">
        <f t="shared" si="163"/>
        <v>0</v>
      </c>
      <c r="CA110" s="11">
        <f t="shared" si="163"/>
        <v>0</v>
      </c>
      <c r="CB110" s="11">
        <f t="shared" si="163"/>
        <v>0</v>
      </c>
      <c r="CC110" s="11">
        <f t="shared" si="163"/>
        <v>440165</v>
      </c>
      <c r="CD110" s="11">
        <f t="shared" si="163"/>
        <v>440165</v>
      </c>
      <c r="CE110" s="11">
        <f t="shared" si="163"/>
        <v>440165</v>
      </c>
      <c r="CF110" s="11">
        <f t="shared" si="163"/>
        <v>0</v>
      </c>
      <c r="CG110" s="11">
        <f t="shared" si="163"/>
        <v>440165</v>
      </c>
      <c r="CH110" s="11">
        <f t="shared" si="163"/>
        <v>0</v>
      </c>
      <c r="CI110" s="11">
        <f t="shared" si="163"/>
        <v>0</v>
      </c>
      <c r="CJ110" s="11">
        <f t="shared" si="163"/>
        <v>0</v>
      </c>
      <c r="CK110" s="11">
        <f t="shared" si="163"/>
        <v>0</v>
      </c>
      <c r="CL110" s="11">
        <f t="shared" si="163"/>
        <v>0</v>
      </c>
      <c r="CM110" s="11">
        <f t="shared" si="163"/>
        <v>0</v>
      </c>
      <c r="CN110" s="11">
        <f t="shared" si="163"/>
        <v>0</v>
      </c>
      <c r="CO110" s="11">
        <f t="shared" si="163"/>
        <v>0</v>
      </c>
      <c r="CP110" s="11"/>
      <c r="CQ110" s="11">
        <f t="shared" si="163"/>
        <v>0</v>
      </c>
      <c r="CR110" s="11">
        <f t="shared" si="163"/>
        <v>0</v>
      </c>
      <c r="CS110" s="11">
        <f t="shared" si="163"/>
        <v>0</v>
      </c>
      <c r="CT110" s="11">
        <f t="shared" si="163"/>
        <v>0</v>
      </c>
      <c r="CU110" s="11">
        <f t="shared" si="163"/>
        <v>0</v>
      </c>
      <c r="CV110" s="11">
        <f t="shared" si="163"/>
        <v>0</v>
      </c>
      <c r="CW110" s="11">
        <f t="shared" si="163"/>
        <v>0</v>
      </c>
      <c r="CX110" s="12">
        <f t="shared" si="163"/>
        <v>0</v>
      </c>
    </row>
    <row r="111" spans="1:102" ht="31.5" x14ac:dyDescent="0.25">
      <c r="A111" s="13" t="s">
        <v>1</v>
      </c>
      <c r="B111" s="14" t="s">
        <v>1</v>
      </c>
      <c r="C111" s="14" t="s">
        <v>94</v>
      </c>
      <c r="D111" s="15" t="s">
        <v>226</v>
      </c>
      <c r="E111" s="10">
        <f>SUM(F111+CC111+CU111)</f>
        <v>4906101</v>
      </c>
      <c r="F111" s="11">
        <f>SUM(G111+BC111)</f>
        <v>4465936</v>
      </c>
      <c r="G111" s="11">
        <f>SUM(H111+I111+J111+Q111+T111+U111+V111+AF111+AE111)</f>
        <v>4465936</v>
      </c>
      <c r="H111" s="16">
        <f>3371382+179807</f>
        <v>3551189</v>
      </c>
      <c r="I111" s="16">
        <f>780746+44952</f>
        <v>825698</v>
      </c>
      <c r="J111" s="11">
        <f>SUM(K111:P111)</f>
        <v>5198</v>
      </c>
      <c r="K111" s="11">
        <v>0</v>
      </c>
      <c r="L111" s="11">
        <v>0</v>
      </c>
      <c r="M111" s="11">
        <v>0</v>
      </c>
      <c r="N111" s="11"/>
      <c r="O111" s="11">
        <v>5198</v>
      </c>
      <c r="P111" s="11">
        <v>0</v>
      </c>
      <c r="Q111" s="11">
        <f t="shared" si="99"/>
        <v>0</v>
      </c>
      <c r="R111" s="11">
        <v>0</v>
      </c>
      <c r="S111" s="11">
        <v>0</v>
      </c>
      <c r="T111" s="11">
        <v>0</v>
      </c>
      <c r="U111" s="11">
        <v>35340</v>
      </c>
      <c r="V111" s="11">
        <f>SUM(W111:AD111)</f>
        <v>48511</v>
      </c>
      <c r="W111" s="11">
        <v>0</v>
      </c>
      <c r="X111" s="16">
        <v>11124</v>
      </c>
      <c r="Y111" s="16">
        <v>37003</v>
      </c>
      <c r="Z111" s="16">
        <v>384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f>SUM(AG111:BB111)</f>
        <v>0</v>
      </c>
      <c r="AG111" s="11">
        <v>0</v>
      </c>
      <c r="AH111" s="11">
        <v>0</v>
      </c>
      <c r="AI111" s="11">
        <v>0</v>
      </c>
      <c r="AJ111" s="11"/>
      <c r="AK111" s="11">
        <v>0</v>
      </c>
      <c r="AL111" s="11">
        <v>0</v>
      </c>
      <c r="AM111" s="11">
        <v>0</v>
      </c>
      <c r="AN111" s="11"/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1"/>
      <c r="AW111" s="11"/>
      <c r="AX111" s="11">
        <v>0</v>
      </c>
      <c r="AY111" s="11">
        <v>0</v>
      </c>
      <c r="AZ111" s="11">
        <v>0</v>
      </c>
      <c r="BA111" s="11">
        <v>0</v>
      </c>
      <c r="BB111" s="11">
        <v>0</v>
      </c>
      <c r="BC111" s="11">
        <f>SUM(BD111+BH111+BL111+BN111+BQ111)</f>
        <v>0</v>
      </c>
      <c r="BD111" s="11">
        <f>SUM(BE111:BG111)</f>
        <v>0</v>
      </c>
      <c r="BE111" s="11">
        <v>0</v>
      </c>
      <c r="BF111" s="11">
        <v>0</v>
      </c>
      <c r="BG111" s="11">
        <v>0</v>
      </c>
      <c r="BH111" s="11">
        <f t="shared" si="100"/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f t="shared" si="101"/>
        <v>0</v>
      </c>
      <c r="BO111" s="11">
        <v>0</v>
      </c>
      <c r="BP111" s="11">
        <v>0</v>
      </c>
      <c r="BQ111" s="11">
        <f t="shared" si="102"/>
        <v>0</v>
      </c>
      <c r="BR111" s="11">
        <v>0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0</v>
      </c>
      <c r="BY111" s="11">
        <v>0</v>
      </c>
      <c r="BZ111" s="11">
        <v>0</v>
      </c>
      <c r="CA111" s="11">
        <v>0</v>
      </c>
      <c r="CB111" s="11">
        <v>0</v>
      </c>
      <c r="CC111" s="11">
        <f>SUM(CD111+CT111)</f>
        <v>440165</v>
      </c>
      <c r="CD111" s="11">
        <f>SUM(CE111+CH111+CM111)</f>
        <v>440165</v>
      </c>
      <c r="CE111" s="11">
        <f t="shared" si="103"/>
        <v>440165</v>
      </c>
      <c r="CF111" s="11">
        <v>0</v>
      </c>
      <c r="CG111" s="11">
        <v>440165</v>
      </c>
      <c r="CH111" s="11">
        <f>SUM(CI111:CL111)</f>
        <v>0</v>
      </c>
      <c r="CI111" s="11">
        <v>0</v>
      </c>
      <c r="CJ111" s="11">
        <v>0</v>
      </c>
      <c r="CK111" s="11">
        <v>0</v>
      </c>
      <c r="CL111" s="11">
        <v>0</v>
      </c>
      <c r="CM111" s="11">
        <f>SUM(CN111:CQ111)</f>
        <v>0</v>
      </c>
      <c r="CN111" s="11">
        <v>0</v>
      </c>
      <c r="CO111" s="11">
        <v>0</v>
      </c>
      <c r="CP111" s="11"/>
      <c r="CQ111" s="11">
        <v>0</v>
      </c>
      <c r="CR111" s="11">
        <v>0</v>
      </c>
      <c r="CS111" s="11">
        <v>0</v>
      </c>
      <c r="CT111" s="11">
        <v>0</v>
      </c>
      <c r="CU111" s="11">
        <f t="shared" si="104"/>
        <v>0</v>
      </c>
      <c r="CV111" s="11">
        <f t="shared" si="105"/>
        <v>0</v>
      </c>
      <c r="CW111" s="11">
        <v>0</v>
      </c>
      <c r="CX111" s="12">
        <v>0</v>
      </c>
    </row>
    <row r="112" spans="1:102" ht="47.25" x14ac:dyDescent="0.25">
      <c r="A112" s="18" t="s">
        <v>227</v>
      </c>
      <c r="B112" s="19" t="s">
        <v>1</v>
      </c>
      <c r="C112" s="19" t="s">
        <v>1</v>
      </c>
      <c r="D112" s="20" t="s">
        <v>228</v>
      </c>
      <c r="E112" s="21">
        <f t="shared" ref="E112:AU112" si="164">SUM(E113+E116+E119+E121)</f>
        <v>30981536</v>
      </c>
      <c r="F112" s="22">
        <f t="shared" si="164"/>
        <v>30981536</v>
      </c>
      <c r="G112" s="22">
        <f t="shared" si="164"/>
        <v>6539259</v>
      </c>
      <c r="H112" s="22">
        <f t="shared" si="164"/>
        <v>0</v>
      </c>
      <c r="I112" s="22">
        <f t="shared" si="164"/>
        <v>0</v>
      </c>
      <c r="J112" s="22">
        <f t="shared" si="164"/>
        <v>0</v>
      </c>
      <c r="K112" s="22">
        <f t="shared" si="164"/>
        <v>0</v>
      </c>
      <c r="L112" s="22">
        <f t="shared" si="164"/>
        <v>0</v>
      </c>
      <c r="M112" s="22">
        <f t="shared" si="164"/>
        <v>0</v>
      </c>
      <c r="N112" s="22">
        <f t="shared" si="164"/>
        <v>0</v>
      </c>
      <c r="O112" s="22">
        <f t="shared" si="164"/>
        <v>0</v>
      </c>
      <c r="P112" s="22">
        <f t="shared" si="164"/>
        <v>0</v>
      </c>
      <c r="Q112" s="22">
        <f t="shared" si="164"/>
        <v>0</v>
      </c>
      <c r="R112" s="22">
        <f t="shared" si="164"/>
        <v>0</v>
      </c>
      <c r="S112" s="22">
        <f t="shared" si="164"/>
        <v>0</v>
      </c>
      <c r="T112" s="22">
        <f t="shared" si="164"/>
        <v>0</v>
      </c>
      <c r="U112" s="22">
        <f t="shared" si="164"/>
        <v>0</v>
      </c>
      <c r="V112" s="22">
        <f t="shared" si="164"/>
        <v>0</v>
      </c>
      <c r="W112" s="22">
        <f t="shared" si="164"/>
        <v>0</v>
      </c>
      <c r="X112" s="22">
        <f t="shared" si="164"/>
        <v>0</v>
      </c>
      <c r="Y112" s="22">
        <f t="shared" si="164"/>
        <v>0</v>
      </c>
      <c r="Z112" s="22">
        <f t="shared" si="164"/>
        <v>0</v>
      </c>
      <c r="AA112" s="22">
        <f t="shared" si="164"/>
        <v>0</v>
      </c>
      <c r="AB112" s="22">
        <f t="shared" si="164"/>
        <v>0</v>
      </c>
      <c r="AC112" s="22">
        <f t="shared" si="164"/>
        <v>0</v>
      </c>
      <c r="AD112" s="22">
        <f t="shared" si="164"/>
        <v>0</v>
      </c>
      <c r="AE112" s="22">
        <f t="shared" si="164"/>
        <v>0</v>
      </c>
      <c r="AF112" s="22">
        <f t="shared" si="164"/>
        <v>6539259</v>
      </c>
      <c r="AG112" s="22">
        <f t="shared" si="164"/>
        <v>0</v>
      </c>
      <c r="AH112" s="22">
        <f t="shared" si="164"/>
        <v>0</v>
      </c>
      <c r="AI112" s="22">
        <f t="shared" si="164"/>
        <v>0</v>
      </c>
      <c r="AJ112" s="22">
        <f t="shared" si="164"/>
        <v>0</v>
      </c>
      <c r="AK112" s="22">
        <f t="shared" si="164"/>
        <v>0</v>
      </c>
      <c r="AL112" s="22">
        <f t="shared" si="164"/>
        <v>0</v>
      </c>
      <c r="AM112" s="22">
        <f t="shared" si="164"/>
        <v>0</v>
      </c>
      <c r="AN112" s="22">
        <f t="shared" si="164"/>
        <v>0</v>
      </c>
      <c r="AO112" s="22">
        <f t="shared" si="164"/>
        <v>0</v>
      </c>
      <c r="AP112" s="22">
        <f t="shared" si="164"/>
        <v>0</v>
      </c>
      <c r="AQ112" s="22">
        <f t="shared" si="164"/>
        <v>0</v>
      </c>
      <c r="AR112" s="22">
        <f t="shared" ref="AR112" si="165">SUM(AR113+AR116+AR119+AR121)</f>
        <v>0</v>
      </c>
      <c r="AS112" s="22">
        <f t="shared" si="164"/>
        <v>0</v>
      </c>
      <c r="AT112" s="22">
        <f t="shared" si="164"/>
        <v>0</v>
      </c>
      <c r="AU112" s="22">
        <f t="shared" si="164"/>
        <v>0</v>
      </c>
      <c r="AV112" s="22"/>
      <c r="AW112" s="22"/>
      <c r="AX112" s="22">
        <f t="shared" ref="AX112:CO112" si="166">SUM(AX113+AX116+AX119+AX121)</f>
        <v>0</v>
      </c>
      <c r="AY112" s="22">
        <f t="shared" si="166"/>
        <v>0</v>
      </c>
      <c r="AZ112" s="22">
        <f t="shared" si="166"/>
        <v>0</v>
      </c>
      <c r="BA112" s="22">
        <f t="shared" si="166"/>
        <v>0</v>
      </c>
      <c r="BB112" s="22">
        <f t="shared" si="166"/>
        <v>6539259</v>
      </c>
      <c r="BC112" s="22">
        <f t="shared" si="166"/>
        <v>24442277</v>
      </c>
      <c r="BD112" s="22">
        <f t="shared" si="166"/>
        <v>23864292</v>
      </c>
      <c r="BE112" s="22">
        <f t="shared" si="166"/>
        <v>0</v>
      </c>
      <c r="BF112" s="22">
        <f t="shared" si="166"/>
        <v>3635190</v>
      </c>
      <c r="BG112" s="22">
        <f t="shared" si="166"/>
        <v>20229102</v>
      </c>
      <c r="BH112" s="22">
        <f t="shared" si="166"/>
        <v>0</v>
      </c>
      <c r="BI112" s="22">
        <f t="shared" si="166"/>
        <v>0</v>
      </c>
      <c r="BJ112" s="22">
        <f t="shared" si="166"/>
        <v>0</v>
      </c>
      <c r="BK112" s="22">
        <f t="shared" si="166"/>
        <v>0</v>
      </c>
      <c r="BL112" s="22">
        <f t="shared" si="166"/>
        <v>0</v>
      </c>
      <c r="BM112" s="22">
        <f t="shared" si="166"/>
        <v>0</v>
      </c>
      <c r="BN112" s="22">
        <f t="shared" si="166"/>
        <v>577985</v>
      </c>
      <c r="BO112" s="22">
        <f t="shared" si="166"/>
        <v>0</v>
      </c>
      <c r="BP112" s="22">
        <f t="shared" ref="BP112" si="167">SUM(BP113+BP116+BP119+BP121)</f>
        <v>577985</v>
      </c>
      <c r="BQ112" s="22">
        <f t="shared" si="166"/>
        <v>0</v>
      </c>
      <c r="BR112" s="22">
        <f t="shared" si="166"/>
        <v>0</v>
      </c>
      <c r="BS112" s="22">
        <f t="shared" si="166"/>
        <v>0</v>
      </c>
      <c r="BT112" s="22">
        <f t="shared" si="166"/>
        <v>0</v>
      </c>
      <c r="BU112" s="22">
        <f t="shared" si="166"/>
        <v>0</v>
      </c>
      <c r="BV112" s="22">
        <f t="shared" si="166"/>
        <v>0</v>
      </c>
      <c r="BW112" s="22">
        <f t="shared" si="166"/>
        <v>0</v>
      </c>
      <c r="BX112" s="22">
        <f t="shared" si="166"/>
        <v>0</v>
      </c>
      <c r="BY112" s="22">
        <f t="shared" si="166"/>
        <v>0</v>
      </c>
      <c r="BZ112" s="22">
        <f t="shared" si="166"/>
        <v>0</v>
      </c>
      <c r="CA112" s="22">
        <f t="shared" si="166"/>
        <v>0</v>
      </c>
      <c r="CB112" s="22">
        <f t="shared" si="166"/>
        <v>0</v>
      </c>
      <c r="CC112" s="22">
        <f t="shared" si="166"/>
        <v>0</v>
      </c>
      <c r="CD112" s="22">
        <f t="shared" si="166"/>
        <v>0</v>
      </c>
      <c r="CE112" s="22">
        <f t="shared" si="166"/>
        <v>0</v>
      </c>
      <c r="CF112" s="22">
        <f t="shared" si="166"/>
        <v>0</v>
      </c>
      <c r="CG112" s="22">
        <f t="shared" si="166"/>
        <v>0</v>
      </c>
      <c r="CH112" s="22">
        <f t="shared" si="166"/>
        <v>0</v>
      </c>
      <c r="CI112" s="22">
        <f t="shared" si="166"/>
        <v>0</v>
      </c>
      <c r="CJ112" s="22">
        <f t="shared" si="166"/>
        <v>0</v>
      </c>
      <c r="CK112" s="22">
        <f t="shared" si="166"/>
        <v>0</v>
      </c>
      <c r="CL112" s="22">
        <f t="shared" si="166"/>
        <v>0</v>
      </c>
      <c r="CM112" s="22">
        <f t="shared" si="166"/>
        <v>0</v>
      </c>
      <c r="CN112" s="22">
        <f t="shared" si="166"/>
        <v>0</v>
      </c>
      <c r="CO112" s="22">
        <f t="shared" si="166"/>
        <v>0</v>
      </c>
      <c r="CP112" s="22"/>
      <c r="CQ112" s="22">
        <f t="shared" ref="CQ112:CX112" si="168">SUM(CQ113+CQ116+CQ119+CQ121)</f>
        <v>0</v>
      </c>
      <c r="CR112" s="22">
        <f t="shared" si="168"/>
        <v>0</v>
      </c>
      <c r="CS112" s="22">
        <f t="shared" si="168"/>
        <v>0</v>
      </c>
      <c r="CT112" s="22">
        <f t="shared" si="168"/>
        <v>0</v>
      </c>
      <c r="CU112" s="22">
        <f t="shared" si="168"/>
        <v>0</v>
      </c>
      <c r="CV112" s="22">
        <f t="shared" si="168"/>
        <v>0</v>
      </c>
      <c r="CW112" s="22">
        <f t="shared" si="168"/>
        <v>0</v>
      </c>
      <c r="CX112" s="23">
        <f t="shared" si="168"/>
        <v>0</v>
      </c>
    </row>
    <row r="113" spans="1:102" ht="15.75" x14ac:dyDescent="0.25">
      <c r="A113" s="7"/>
      <c r="B113" s="8" t="s">
        <v>229</v>
      </c>
      <c r="C113" s="8" t="s">
        <v>1</v>
      </c>
      <c r="D113" s="9" t="s">
        <v>230</v>
      </c>
      <c r="E113" s="10">
        <f>SUM(E114:E115)</f>
        <v>4213175</v>
      </c>
      <c r="F113" s="11">
        <f t="shared" ref="F113:BS113" si="169">SUM(F114:F115)</f>
        <v>4213175</v>
      </c>
      <c r="G113" s="11">
        <f t="shared" si="169"/>
        <v>0</v>
      </c>
      <c r="H113" s="11">
        <f t="shared" si="169"/>
        <v>0</v>
      </c>
      <c r="I113" s="11">
        <f t="shared" si="169"/>
        <v>0</v>
      </c>
      <c r="J113" s="11">
        <f t="shared" si="169"/>
        <v>0</v>
      </c>
      <c r="K113" s="11">
        <f t="shared" si="169"/>
        <v>0</v>
      </c>
      <c r="L113" s="11">
        <f t="shared" si="169"/>
        <v>0</v>
      </c>
      <c r="M113" s="11">
        <f t="shared" si="169"/>
        <v>0</v>
      </c>
      <c r="N113" s="11">
        <f t="shared" si="169"/>
        <v>0</v>
      </c>
      <c r="O113" s="11">
        <f t="shared" si="169"/>
        <v>0</v>
      </c>
      <c r="P113" s="11">
        <f t="shared" si="169"/>
        <v>0</v>
      </c>
      <c r="Q113" s="11">
        <f t="shared" si="169"/>
        <v>0</v>
      </c>
      <c r="R113" s="11">
        <f t="shared" si="169"/>
        <v>0</v>
      </c>
      <c r="S113" s="11">
        <f t="shared" si="169"/>
        <v>0</v>
      </c>
      <c r="T113" s="11">
        <f t="shared" si="169"/>
        <v>0</v>
      </c>
      <c r="U113" s="11">
        <f t="shared" si="169"/>
        <v>0</v>
      </c>
      <c r="V113" s="11">
        <f t="shared" si="169"/>
        <v>0</v>
      </c>
      <c r="W113" s="11">
        <f t="shared" si="169"/>
        <v>0</v>
      </c>
      <c r="X113" s="11">
        <f t="shared" si="169"/>
        <v>0</v>
      </c>
      <c r="Y113" s="11">
        <f t="shared" si="169"/>
        <v>0</v>
      </c>
      <c r="Z113" s="11">
        <f t="shared" si="169"/>
        <v>0</v>
      </c>
      <c r="AA113" s="11">
        <f t="shared" si="169"/>
        <v>0</v>
      </c>
      <c r="AB113" s="11">
        <f t="shared" si="169"/>
        <v>0</v>
      </c>
      <c r="AC113" s="11">
        <f t="shared" si="169"/>
        <v>0</v>
      </c>
      <c r="AD113" s="11">
        <f t="shared" si="169"/>
        <v>0</v>
      </c>
      <c r="AE113" s="11">
        <f t="shared" si="169"/>
        <v>0</v>
      </c>
      <c r="AF113" s="11">
        <f t="shared" si="169"/>
        <v>0</v>
      </c>
      <c r="AG113" s="11">
        <f t="shared" si="169"/>
        <v>0</v>
      </c>
      <c r="AH113" s="11">
        <f t="shared" si="169"/>
        <v>0</v>
      </c>
      <c r="AI113" s="11">
        <f t="shared" si="169"/>
        <v>0</v>
      </c>
      <c r="AJ113" s="11">
        <f t="shared" si="169"/>
        <v>0</v>
      </c>
      <c r="AK113" s="11">
        <f t="shared" si="169"/>
        <v>0</v>
      </c>
      <c r="AL113" s="11">
        <f t="shared" si="169"/>
        <v>0</v>
      </c>
      <c r="AM113" s="11">
        <f t="shared" si="169"/>
        <v>0</v>
      </c>
      <c r="AN113" s="11">
        <f t="shared" si="169"/>
        <v>0</v>
      </c>
      <c r="AO113" s="11">
        <f t="shared" si="169"/>
        <v>0</v>
      </c>
      <c r="AP113" s="11">
        <f t="shared" si="169"/>
        <v>0</v>
      </c>
      <c r="AQ113" s="11">
        <f t="shared" si="169"/>
        <v>0</v>
      </c>
      <c r="AR113" s="11">
        <f t="shared" ref="AR113" si="170">SUM(AR114:AR115)</f>
        <v>0</v>
      </c>
      <c r="AS113" s="11">
        <f t="shared" si="169"/>
        <v>0</v>
      </c>
      <c r="AT113" s="11">
        <f t="shared" si="169"/>
        <v>0</v>
      </c>
      <c r="AU113" s="11">
        <f t="shared" si="169"/>
        <v>0</v>
      </c>
      <c r="AV113" s="11">
        <f t="shared" si="169"/>
        <v>0</v>
      </c>
      <c r="AW113" s="11">
        <f t="shared" si="169"/>
        <v>0</v>
      </c>
      <c r="AX113" s="11">
        <f t="shared" si="169"/>
        <v>0</v>
      </c>
      <c r="AY113" s="11">
        <f t="shared" si="169"/>
        <v>0</v>
      </c>
      <c r="AZ113" s="11">
        <f t="shared" si="169"/>
        <v>0</v>
      </c>
      <c r="BA113" s="11">
        <f t="shared" si="169"/>
        <v>0</v>
      </c>
      <c r="BB113" s="11">
        <f t="shared" si="169"/>
        <v>0</v>
      </c>
      <c r="BC113" s="11">
        <f t="shared" si="169"/>
        <v>4213175</v>
      </c>
      <c r="BD113" s="11">
        <f t="shared" si="169"/>
        <v>3635190</v>
      </c>
      <c r="BE113" s="11">
        <f t="shared" si="169"/>
        <v>0</v>
      </c>
      <c r="BF113" s="11">
        <f t="shared" si="169"/>
        <v>3635190</v>
      </c>
      <c r="BG113" s="11">
        <f t="shared" si="169"/>
        <v>0</v>
      </c>
      <c r="BH113" s="11">
        <f t="shared" si="169"/>
        <v>0</v>
      </c>
      <c r="BI113" s="11">
        <f t="shared" si="169"/>
        <v>0</v>
      </c>
      <c r="BJ113" s="11">
        <f t="shared" si="169"/>
        <v>0</v>
      </c>
      <c r="BK113" s="11">
        <f t="shared" si="169"/>
        <v>0</v>
      </c>
      <c r="BL113" s="11">
        <f t="shared" si="169"/>
        <v>0</v>
      </c>
      <c r="BM113" s="11">
        <f t="shared" si="169"/>
        <v>0</v>
      </c>
      <c r="BN113" s="11">
        <f t="shared" si="169"/>
        <v>577985</v>
      </c>
      <c r="BO113" s="11">
        <f t="shared" si="169"/>
        <v>0</v>
      </c>
      <c r="BP113" s="11">
        <f t="shared" si="169"/>
        <v>577985</v>
      </c>
      <c r="BQ113" s="11">
        <f t="shared" si="169"/>
        <v>0</v>
      </c>
      <c r="BR113" s="11">
        <f t="shared" si="169"/>
        <v>0</v>
      </c>
      <c r="BS113" s="11">
        <f t="shared" si="169"/>
        <v>0</v>
      </c>
      <c r="BT113" s="11">
        <f t="shared" ref="BT113:CX113" si="171">SUM(BT114:BT115)</f>
        <v>0</v>
      </c>
      <c r="BU113" s="11">
        <f t="shared" si="171"/>
        <v>0</v>
      </c>
      <c r="BV113" s="11">
        <f t="shared" si="171"/>
        <v>0</v>
      </c>
      <c r="BW113" s="11">
        <f t="shared" si="171"/>
        <v>0</v>
      </c>
      <c r="BX113" s="11">
        <f t="shared" si="171"/>
        <v>0</v>
      </c>
      <c r="BY113" s="11">
        <f t="shared" si="171"/>
        <v>0</v>
      </c>
      <c r="BZ113" s="11">
        <f t="shared" si="171"/>
        <v>0</v>
      </c>
      <c r="CA113" s="11">
        <f t="shared" si="171"/>
        <v>0</v>
      </c>
      <c r="CB113" s="11">
        <f t="shared" si="171"/>
        <v>0</v>
      </c>
      <c r="CC113" s="11">
        <f t="shared" si="171"/>
        <v>0</v>
      </c>
      <c r="CD113" s="11">
        <f t="shared" si="171"/>
        <v>0</v>
      </c>
      <c r="CE113" s="11">
        <f t="shared" si="171"/>
        <v>0</v>
      </c>
      <c r="CF113" s="11">
        <f t="shared" si="171"/>
        <v>0</v>
      </c>
      <c r="CG113" s="11">
        <f t="shared" si="171"/>
        <v>0</v>
      </c>
      <c r="CH113" s="11">
        <f t="shared" si="171"/>
        <v>0</v>
      </c>
      <c r="CI113" s="11">
        <f t="shared" si="171"/>
        <v>0</v>
      </c>
      <c r="CJ113" s="11">
        <f t="shared" si="171"/>
        <v>0</v>
      </c>
      <c r="CK113" s="11">
        <f t="shared" si="171"/>
        <v>0</v>
      </c>
      <c r="CL113" s="11">
        <f t="shared" si="171"/>
        <v>0</v>
      </c>
      <c r="CM113" s="11">
        <f t="shared" si="171"/>
        <v>0</v>
      </c>
      <c r="CN113" s="11">
        <f t="shared" si="171"/>
        <v>0</v>
      </c>
      <c r="CO113" s="11">
        <f t="shared" si="171"/>
        <v>0</v>
      </c>
      <c r="CP113" s="11">
        <f t="shared" si="171"/>
        <v>0</v>
      </c>
      <c r="CQ113" s="11">
        <f t="shared" si="171"/>
        <v>0</v>
      </c>
      <c r="CR113" s="11">
        <f t="shared" si="171"/>
        <v>0</v>
      </c>
      <c r="CS113" s="11">
        <f t="shared" si="171"/>
        <v>0</v>
      </c>
      <c r="CT113" s="11">
        <f t="shared" si="171"/>
        <v>0</v>
      </c>
      <c r="CU113" s="11">
        <f t="shared" si="171"/>
        <v>0</v>
      </c>
      <c r="CV113" s="11">
        <f t="shared" si="171"/>
        <v>0</v>
      </c>
      <c r="CW113" s="11">
        <f t="shared" si="171"/>
        <v>0</v>
      </c>
      <c r="CX113" s="12">
        <f t="shared" si="171"/>
        <v>0</v>
      </c>
    </row>
    <row r="114" spans="1:102" ht="15.75" x14ac:dyDescent="0.25">
      <c r="A114" s="13"/>
      <c r="B114" s="14" t="s">
        <v>1</v>
      </c>
      <c r="C114" s="14" t="s">
        <v>82</v>
      </c>
      <c r="D114" s="15" t="s">
        <v>231</v>
      </c>
      <c r="E114" s="10">
        <f>SUM(F114+CC114+CU114)</f>
        <v>3635190</v>
      </c>
      <c r="F114" s="11">
        <f>SUM(G114+BC114)</f>
        <v>3635190</v>
      </c>
      <c r="G114" s="11">
        <f>SUM(H114+I114+J114+Q114+T114+U114+V114+AF114+AE114)</f>
        <v>0</v>
      </c>
      <c r="H114" s="11">
        <v>0</v>
      </c>
      <c r="I114" s="11">
        <v>0</v>
      </c>
      <c r="J114" s="11">
        <f>SUM(K114:P114)</f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f t="shared" si="99"/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f>SUM(W114:AD114)</f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f>SUM(AG114:BB114)</f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/>
      <c r="AW114" s="11"/>
      <c r="AX114" s="11">
        <v>0</v>
      </c>
      <c r="AY114" s="11">
        <v>0</v>
      </c>
      <c r="AZ114" s="11">
        <v>0</v>
      </c>
      <c r="BA114" s="11">
        <v>0</v>
      </c>
      <c r="BB114" s="11">
        <v>0</v>
      </c>
      <c r="BC114" s="11">
        <f>SUM(BD114+BH114+BL114+BN114+BQ114)</f>
        <v>3635190</v>
      </c>
      <c r="BD114" s="11">
        <f>SUM(BE114:BG114)</f>
        <v>3635190</v>
      </c>
      <c r="BE114" s="11">
        <v>0</v>
      </c>
      <c r="BF114" s="11">
        <f>4213175-577985</f>
        <v>3635190</v>
      </c>
      <c r="BG114" s="11">
        <v>0</v>
      </c>
      <c r="BH114" s="11">
        <f t="shared" si="100"/>
        <v>0</v>
      </c>
      <c r="BI114" s="11">
        <v>0</v>
      </c>
      <c r="BJ114" s="11">
        <v>0</v>
      </c>
      <c r="BK114" s="11">
        <v>0</v>
      </c>
      <c r="BL114" s="11">
        <v>0</v>
      </c>
      <c r="BM114" s="11">
        <v>0</v>
      </c>
      <c r="BN114" s="11">
        <f t="shared" si="101"/>
        <v>0</v>
      </c>
      <c r="BO114" s="11">
        <v>0</v>
      </c>
      <c r="BP114" s="11">
        <v>0</v>
      </c>
      <c r="BQ114" s="11">
        <f t="shared" si="102"/>
        <v>0</v>
      </c>
      <c r="BR114" s="11">
        <v>0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0</v>
      </c>
      <c r="BY114" s="11">
        <v>0</v>
      </c>
      <c r="BZ114" s="11">
        <v>0</v>
      </c>
      <c r="CA114" s="11">
        <v>0</v>
      </c>
      <c r="CB114" s="11">
        <v>0</v>
      </c>
      <c r="CC114" s="11">
        <f>SUM(CD114+CT114)</f>
        <v>0</v>
      </c>
      <c r="CD114" s="11">
        <f>SUM(CE114+CH114+CM114)</f>
        <v>0</v>
      </c>
      <c r="CE114" s="11">
        <f t="shared" si="103"/>
        <v>0</v>
      </c>
      <c r="CF114" s="11">
        <v>0</v>
      </c>
      <c r="CG114" s="11">
        <v>0</v>
      </c>
      <c r="CH114" s="11">
        <f>SUM(CI114:CL114)</f>
        <v>0</v>
      </c>
      <c r="CI114" s="11">
        <v>0</v>
      </c>
      <c r="CJ114" s="11">
        <v>0</v>
      </c>
      <c r="CK114" s="11">
        <v>0</v>
      </c>
      <c r="CL114" s="11">
        <v>0</v>
      </c>
      <c r="CM114" s="11">
        <f>SUM(CN114:CQ114)</f>
        <v>0</v>
      </c>
      <c r="CN114" s="11">
        <v>0</v>
      </c>
      <c r="CO114" s="11">
        <v>0</v>
      </c>
      <c r="CP114" s="11"/>
      <c r="CQ114" s="11">
        <v>0</v>
      </c>
      <c r="CR114" s="11">
        <v>0</v>
      </c>
      <c r="CS114" s="11">
        <v>0</v>
      </c>
      <c r="CT114" s="11">
        <v>0</v>
      </c>
      <c r="CU114" s="11">
        <f t="shared" si="104"/>
        <v>0</v>
      </c>
      <c r="CV114" s="11">
        <f t="shared" si="105"/>
        <v>0</v>
      </c>
      <c r="CW114" s="11">
        <v>0</v>
      </c>
      <c r="CX114" s="12">
        <v>0</v>
      </c>
    </row>
    <row r="115" spans="1:102" ht="31.5" x14ac:dyDescent="0.25">
      <c r="A115" s="13"/>
      <c r="B115" s="14" t="s">
        <v>1</v>
      </c>
      <c r="C115" s="14" t="s">
        <v>82</v>
      </c>
      <c r="D115" s="15" t="s">
        <v>600</v>
      </c>
      <c r="E115" s="10">
        <f>SUM(F115+CC115+CU115)</f>
        <v>577985</v>
      </c>
      <c r="F115" s="11">
        <f>SUM(G115+BC115)</f>
        <v>577985</v>
      </c>
      <c r="G115" s="11">
        <f>SUM(H115+I115+J115+Q115+T115+U115+V115+AF115+AE115)</f>
        <v>0</v>
      </c>
      <c r="H115" s="11">
        <v>0</v>
      </c>
      <c r="I115" s="11">
        <v>0</v>
      </c>
      <c r="J115" s="11">
        <f>SUM(K115:P115)</f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f t="shared" ref="Q115" si="172">SUM(R115:S115)</f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f>SUM(W115:AD115)</f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f>SUM(AG115:BB115)</f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/>
      <c r="AW115" s="11"/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f>SUM(BD115+BH115+BL115+BN115+BQ115)</f>
        <v>577985</v>
      </c>
      <c r="BD115" s="11">
        <f>SUM(BE115:BG115)</f>
        <v>0</v>
      </c>
      <c r="BE115" s="11">
        <v>0</v>
      </c>
      <c r="BF115" s="11"/>
      <c r="BG115" s="11">
        <v>0</v>
      </c>
      <c r="BH115" s="11">
        <f t="shared" ref="BH115" si="173">SUM(BJ115:BK115)</f>
        <v>0</v>
      </c>
      <c r="BI115" s="11">
        <v>0</v>
      </c>
      <c r="BJ115" s="11">
        <v>0</v>
      </c>
      <c r="BK115" s="11">
        <v>0</v>
      </c>
      <c r="BL115" s="11">
        <v>0</v>
      </c>
      <c r="BM115" s="11">
        <v>0</v>
      </c>
      <c r="BN115" s="11">
        <f>SUM(BO115:BP115)</f>
        <v>577985</v>
      </c>
      <c r="BO115" s="11">
        <v>0</v>
      </c>
      <c r="BP115" s="11">
        <v>577985</v>
      </c>
      <c r="BQ115" s="11">
        <f t="shared" ref="BQ115" si="174">SUM(BR115:CB115)</f>
        <v>0</v>
      </c>
      <c r="BR115" s="11">
        <v>0</v>
      </c>
      <c r="BS115" s="11">
        <v>0</v>
      </c>
      <c r="BT115" s="11">
        <v>0</v>
      </c>
      <c r="BU115" s="11">
        <v>0</v>
      </c>
      <c r="BV115" s="11">
        <v>0</v>
      </c>
      <c r="BW115" s="11">
        <v>0</v>
      </c>
      <c r="BX115" s="11">
        <v>0</v>
      </c>
      <c r="BY115" s="11">
        <v>0</v>
      </c>
      <c r="BZ115" s="11">
        <v>0</v>
      </c>
      <c r="CA115" s="11">
        <v>0</v>
      </c>
      <c r="CB115" s="11">
        <v>0</v>
      </c>
      <c r="CC115" s="11">
        <f>SUM(CD115+CT115)</f>
        <v>0</v>
      </c>
      <c r="CD115" s="11">
        <f>SUM(CE115+CH115+CM115)</f>
        <v>0</v>
      </c>
      <c r="CE115" s="11">
        <f t="shared" ref="CE115" si="175">SUM(CF115:CG115)</f>
        <v>0</v>
      </c>
      <c r="CF115" s="11">
        <v>0</v>
      </c>
      <c r="CG115" s="11">
        <v>0</v>
      </c>
      <c r="CH115" s="11">
        <f>SUM(CI115:CL115)</f>
        <v>0</v>
      </c>
      <c r="CI115" s="11">
        <v>0</v>
      </c>
      <c r="CJ115" s="11">
        <v>0</v>
      </c>
      <c r="CK115" s="11">
        <v>0</v>
      </c>
      <c r="CL115" s="11">
        <v>0</v>
      </c>
      <c r="CM115" s="11">
        <f>SUM(CN115:CQ115)</f>
        <v>0</v>
      </c>
      <c r="CN115" s="11">
        <v>0</v>
      </c>
      <c r="CO115" s="11">
        <v>0</v>
      </c>
      <c r="CP115" s="11"/>
      <c r="CQ115" s="11">
        <v>0</v>
      </c>
      <c r="CR115" s="11">
        <v>0</v>
      </c>
      <c r="CS115" s="11">
        <v>0</v>
      </c>
      <c r="CT115" s="11">
        <v>0</v>
      </c>
      <c r="CU115" s="11">
        <f t="shared" ref="CU115" si="176">SUM(CV115)</f>
        <v>0</v>
      </c>
      <c r="CV115" s="11">
        <f t="shared" ref="CV115" si="177">SUM(CW115:CX115)</f>
        <v>0</v>
      </c>
      <c r="CW115" s="11">
        <v>0</v>
      </c>
      <c r="CX115" s="12">
        <v>0</v>
      </c>
    </row>
    <row r="116" spans="1:102" ht="15.75" x14ac:dyDescent="0.25">
      <c r="A116" s="7"/>
      <c r="B116" s="8" t="s">
        <v>232</v>
      </c>
      <c r="C116" s="8" t="s">
        <v>1</v>
      </c>
      <c r="D116" s="9" t="s">
        <v>233</v>
      </c>
      <c r="E116" s="10">
        <f>SUM(E117:E118)</f>
        <v>20229102</v>
      </c>
      <c r="F116" s="11">
        <f t="shared" ref="F116:BR116" si="178">SUM(F117:F118)</f>
        <v>20229102</v>
      </c>
      <c r="G116" s="11">
        <f t="shared" si="178"/>
        <v>0</v>
      </c>
      <c r="H116" s="11">
        <f t="shared" si="178"/>
        <v>0</v>
      </c>
      <c r="I116" s="11">
        <f t="shared" si="178"/>
        <v>0</v>
      </c>
      <c r="J116" s="11">
        <f t="shared" si="178"/>
        <v>0</v>
      </c>
      <c r="K116" s="11">
        <f t="shared" si="178"/>
        <v>0</v>
      </c>
      <c r="L116" s="11">
        <f t="shared" si="178"/>
        <v>0</v>
      </c>
      <c r="M116" s="11">
        <f t="shared" si="178"/>
        <v>0</v>
      </c>
      <c r="N116" s="11">
        <f t="shared" si="178"/>
        <v>0</v>
      </c>
      <c r="O116" s="11">
        <f t="shared" si="178"/>
        <v>0</v>
      </c>
      <c r="P116" s="11">
        <f t="shared" si="178"/>
        <v>0</v>
      </c>
      <c r="Q116" s="11">
        <f t="shared" si="178"/>
        <v>0</v>
      </c>
      <c r="R116" s="11">
        <f t="shared" si="178"/>
        <v>0</v>
      </c>
      <c r="S116" s="11">
        <f t="shared" si="178"/>
        <v>0</v>
      </c>
      <c r="T116" s="11">
        <f t="shared" si="178"/>
        <v>0</v>
      </c>
      <c r="U116" s="11">
        <f t="shared" si="178"/>
        <v>0</v>
      </c>
      <c r="V116" s="11">
        <f t="shared" si="178"/>
        <v>0</v>
      </c>
      <c r="W116" s="11">
        <f t="shared" si="178"/>
        <v>0</v>
      </c>
      <c r="X116" s="11">
        <f t="shared" si="178"/>
        <v>0</v>
      </c>
      <c r="Y116" s="11">
        <f t="shared" si="178"/>
        <v>0</v>
      </c>
      <c r="Z116" s="11">
        <f t="shared" si="178"/>
        <v>0</v>
      </c>
      <c r="AA116" s="11">
        <f t="shared" si="178"/>
        <v>0</v>
      </c>
      <c r="AB116" s="11">
        <f t="shared" si="178"/>
        <v>0</v>
      </c>
      <c r="AC116" s="11">
        <f t="shared" si="178"/>
        <v>0</v>
      </c>
      <c r="AD116" s="11">
        <f t="shared" si="178"/>
        <v>0</v>
      </c>
      <c r="AE116" s="11">
        <f t="shared" si="178"/>
        <v>0</v>
      </c>
      <c r="AF116" s="11">
        <f t="shared" si="178"/>
        <v>0</v>
      </c>
      <c r="AG116" s="11">
        <f t="shared" si="178"/>
        <v>0</v>
      </c>
      <c r="AH116" s="11">
        <f t="shared" si="178"/>
        <v>0</v>
      </c>
      <c r="AI116" s="11">
        <f t="shared" si="178"/>
        <v>0</v>
      </c>
      <c r="AJ116" s="11">
        <f t="shared" si="178"/>
        <v>0</v>
      </c>
      <c r="AK116" s="11">
        <f t="shared" si="178"/>
        <v>0</v>
      </c>
      <c r="AL116" s="11">
        <f t="shared" si="178"/>
        <v>0</v>
      </c>
      <c r="AM116" s="11">
        <f t="shared" si="178"/>
        <v>0</v>
      </c>
      <c r="AN116" s="11">
        <f t="shared" si="178"/>
        <v>0</v>
      </c>
      <c r="AO116" s="11">
        <f t="shared" si="178"/>
        <v>0</v>
      </c>
      <c r="AP116" s="11">
        <f t="shared" si="178"/>
        <v>0</v>
      </c>
      <c r="AQ116" s="11">
        <f t="shared" si="178"/>
        <v>0</v>
      </c>
      <c r="AR116" s="11">
        <f t="shared" ref="AR116" si="179">SUM(AR117:AR118)</f>
        <v>0</v>
      </c>
      <c r="AS116" s="11">
        <f t="shared" si="178"/>
        <v>0</v>
      </c>
      <c r="AT116" s="11">
        <f t="shared" si="178"/>
        <v>0</v>
      </c>
      <c r="AU116" s="11">
        <f t="shared" si="178"/>
        <v>0</v>
      </c>
      <c r="AV116" s="11">
        <f t="shared" si="178"/>
        <v>0</v>
      </c>
      <c r="AW116" s="11">
        <f t="shared" si="178"/>
        <v>0</v>
      </c>
      <c r="AX116" s="11">
        <f t="shared" si="178"/>
        <v>0</v>
      </c>
      <c r="AY116" s="11">
        <f t="shared" si="178"/>
        <v>0</v>
      </c>
      <c r="AZ116" s="11">
        <f t="shared" si="178"/>
        <v>0</v>
      </c>
      <c r="BA116" s="11">
        <f t="shared" si="178"/>
        <v>0</v>
      </c>
      <c r="BB116" s="11">
        <f t="shared" si="178"/>
        <v>0</v>
      </c>
      <c r="BC116" s="11">
        <f t="shared" si="178"/>
        <v>20229102</v>
      </c>
      <c r="BD116" s="11">
        <f t="shared" si="178"/>
        <v>20229102</v>
      </c>
      <c r="BE116" s="11">
        <f t="shared" si="178"/>
        <v>0</v>
      </c>
      <c r="BF116" s="11">
        <f t="shared" si="178"/>
        <v>0</v>
      </c>
      <c r="BG116" s="11">
        <f t="shared" si="178"/>
        <v>20229102</v>
      </c>
      <c r="BH116" s="11">
        <f t="shared" si="178"/>
        <v>0</v>
      </c>
      <c r="BI116" s="11">
        <f t="shared" si="178"/>
        <v>0</v>
      </c>
      <c r="BJ116" s="11">
        <f t="shared" si="178"/>
        <v>0</v>
      </c>
      <c r="BK116" s="11">
        <f t="shared" si="178"/>
        <v>0</v>
      </c>
      <c r="BL116" s="11">
        <f t="shared" si="178"/>
        <v>0</v>
      </c>
      <c r="BM116" s="11">
        <f t="shared" si="178"/>
        <v>0</v>
      </c>
      <c r="BN116" s="11">
        <f t="shared" si="178"/>
        <v>0</v>
      </c>
      <c r="BO116" s="11">
        <f t="shared" si="178"/>
        <v>0</v>
      </c>
      <c r="BP116" s="11">
        <f t="shared" ref="BP116" si="180">SUM(BP117:BP118)</f>
        <v>0</v>
      </c>
      <c r="BQ116" s="11">
        <f t="shared" si="178"/>
        <v>0</v>
      </c>
      <c r="BR116" s="11">
        <f t="shared" si="178"/>
        <v>0</v>
      </c>
      <c r="BS116" s="11">
        <f t="shared" ref="BS116:CX116" si="181">SUM(BS117:BS118)</f>
        <v>0</v>
      </c>
      <c r="BT116" s="11">
        <f t="shared" si="181"/>
        <v>0</v>
      </c>
      <c r="BU116" s="11">
        <f t="shared" si="181"/>
        <v>0</v>
      </c>
      <c r="BV116" s="11">
        <f t="shared" si="181"/>
        <v>0</v>
      </c>
      <c r="BW116" s="11">
        <f t="shared" si="181"/>
        <v>0</v>
      </c>
      <c r="BX116" s="11">
        <f t="shared" si="181"/>
        <v>0</v>
      </c>
      <c r="BY116" s="11">
        <f t="shared" si="181"/>
        <v>0</v>
      </c>
      <c r="BZ116" s="11">
        <f t="shared" si="181"/>
        <v>0</v>
      </c>
      <c r="CA116" s="11">
        <f t="shared" si="181"/>
        <v>0</v>
      </c>
      <c r="CB116" s="11">
        <f t="shared" si="181"/>
        <v>0</v>
      </c>
      <c r="CC116" s="11">
        <f t="shared" si="181"/>
        <v>0</v>
      </c>
      <c r="CD116" s="11">
        <f t="shared" si="181"/>
        <v>0</v>
      </c>
      <c r="CE116" s="11">
        <f t="shared" si="181"/>
        <v>0</v>
      </c>
      <c r="CF116" s="11">
        <f t="shared" si="181"/>
        <v>0</v>
      </c>
      <c r="CG116" s="11">
        <f t="shared" si="181"/>
        <v>0</v>
      </c>
      <c r="CH116" s="11">
        <f t="shared" si="181"/>
        <v>0</v>
      </c>
      <c r="CI116" s="11">
        <f t="shared" si="181"/>
        <v>0</v>
      </c>
      <c r="CJ116" s="11">
        <f t="shared" si="181"/>
        <v>0</v>
      </c>
      <c r="CK116" s="11">
        <f t="shared" si="181"/>
        <v>0</v>
      </c>
      <c r="CL116" s="11">
        <f t="shared" si="181"/>
        <v>0</v>
      </c>
      <c r="CM116" s="11">
        <f t="shared" si="181"/>
        <v>0</v>
      </c>
      <c r="CN116" s="11">
        <f t="shared" si="181"/>
        <v>0</v>
      </c>
      <c r="CO116" s="11">
        <f t="shared" si="181"/>
        <v>0</v>
      </c>
      <c r="CP116" s="11">
        <f t="shared" si="181"/>
        <v>0</v>
      </c>
      <c r="CQ116" s="11">
        <f t="shared" si="181"/>
        <v>0</v>
      </c>
      <c r="CR116" s="11">
        <f t="shared" si="181"/>
        <v>0</v>
      </c>
      <c r="CS116" s="11">
        <f t="shared" si="181"/>
        <v>0</v>
      </c>
      <c r="CT116" s="11">
        <f t="shared" si="181"/>
        <v>0</v>
      </c>
      <c r="CU116" s="11">
        <f t="shared" si="181"/>
        <v>0</v>
      </c>
      <c r="CV116" s="11">
        <f t="shared" si="181"/>
        <v>0</v>
      </c>
      <c r="CW116" s="11">
        <f t="shared" si="181"/>
        <v>0</v>
      </c>
      <c r="CX116" s="12">
        <f t="shared" si="181"/>
        <v>0</v>
      </c>
    </row>
    <row r="117" spans="1:102" ht="15.75" x14ac:dyDescent="0.25">
      <c r="A117" s="13"/>
      <c r="B117" s="14" t="s">
        <v>1</v>
      </c>
      <c r="C117" s="14" t="s">
        <v>102</v>
      </c>
      <c r="D117" s="15" t="s">
        <v>234</v>
      </c>
      <c r="E117" s="10">
        <f>SUM(F117+CC117+CU117)</f>
        <v>1652481</v>
      </c>
      <c r="F117" s="11">
        <f>SUM(G117+BC117)</f>
        <v>1652481</v>
      </c>
      <c r="G117" s="11">
        <f>SUM(H117+I117+J117+Q117+T117+U117+V117+AF117+AE117)</f>
        <v>0</v>
      </c>
      <c r="H117" s="11">
        <v>0</v>
      </c>
      <c r="I117" s="11">
        <v>0</v>
      </c>
      <c r="J117" s="11">
        <f>SUM(K117:P117)</f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f t="shared" si="99"/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f>SUM(W117:AD117)</f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f>SUM(AG117:BB117)</f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1"/>
      <c r="AW117" s="11"/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f>SUM(BD117+BH117+BL117+BN117+BQ117)</f>
        <v>1652481</v>
      </c>
      <c r="BD117" s="11">
        <f>SUM(BE117:BG117)</f>
        <v>1652481</v>
      </c>
      <c r="BE117" s="11">
        <v>0</v>
      </c>
      <c r="BF117" s="11">
        <v>0</v>
      </c>
      <c r="BG117" s="11">
        <f>20229102-18576621</f>
        <v>1652481</v>
      </c>
      <c r="BH117" s="11">
        <f t="shared" si="100"/>
        <v>0</v>
      </c>
      <c r="BI117" s="11">
        <v>0</v>
      </c>
      <c r="BJ117" s="11">
        <v>0</v>
      </c>
      <c r="BK117" s="11">
        <v>0</v>
      </c>
      <c r="BL117" s="11">
        <v>0</v>
      </c>
      <c r="BM117" s="11">
        <v>0</v>
      </c>
      <c r="BN117" s="11">
        <f t="shared" si="101"/>
        <v>0</v>
      </c>
      <c r="BO117" s="11">
        <v>0</v>
      </c>
      <c r="BP117" s="11">
        <v>0</v>
      </c>
      <c r="BQ117" s="11">
        <f t="shared" si="102"/>
        <v>0</v>
      </c>
      <c r="BR117" s="11">
        <v>0</v>
      </c>
      <c r="BS117" s="11">
        <v>0</v>
      </c>
      <c r="BT117" s="11">
        <v>0</v>
      </c>
      <c r="BU117" s="11">
        <v>0</v>
      </c>
      <c r="BV117" s="11">
        <v>0</v>
      </c>
      <c r="BW117" s="11">
        <v>0</v>
      </c>
      <c r="BX117" s="11">
        <v>0</v>
      </c>
      <c r="BY117" s="11">
        <v>0</v>
      </c>
      <c r="BZ117" s="11">
        <v>0</v>
      </c>
      <c r="CA117" s="11">
        <v>0</v>
      </c>
      <c r="CB117" s="11">
        <v>0</v>
      </c>
      <c r="CC117" s="11">
        <f>SUM(CD117+CT117)</f>
        <v>0</v>
      </c>
      <c r="CD117" s="11">
        <f>SUM(CE117+CH117+CM117)</f>
        <v>0</v>
      </c>
      <c r="CE117" s="11">
        <f t="shared" si="103"/>
        <v>0</v>
      </c>
      <c r="CF117" s="11">
        <v>0</v>
      </c>
      <c r="CG117" s="11">
        <v>0</v>
      </c>
      <c r="CH117" s="11">
        <f>SUM(CI117:CL117)</f>
        <v>0</v>
      </c>
      <c r="CI117" s="11">
        <v>0</v>
      </c>
      <c r="CJ117" s="11">
        <v>0</v>
      </c>
      <c r="CK117" s="11">
        <v>0</v>
      </c>
      <c r="CL117" s="11">
        <v>0</v>
      </c>
      <c r="CM117" s="11">
        <f>SUM(CN117:CQ117)</f>
        <v>0</v>
      </c>
      <c r="CN117" s="11">
        <v>0</v>
      </c>
      <c r="CO117" s="11">
        <v>0</v>
      </c>
      <c r="CP117" s="11"/>
      <c r="CQ117" s="11">
        <v>0</v>
      </c>
      <c r="CR117" s="11">
        <v>0</v>
      </c>
      <c r="CS117" s="11">
        <v>0</v>
      </c>
      <c r="CT117" s="11">
        <v>0</v>
      </c>
      <c r="CU117" s="11">
        <f t="shared" si="104"/>
        <v>0</v>
      </c>
      <c r="CV117" s="11">
        <f t="shared" si="105"/>
        <v>0</v>
      </c>
      <c r="CW117" s="11">
        <v>0</v>
      </c>
      <c r="CX117" s="12">
        <v>0</v>
      </c>
    </row>
    <row r="118" spans="1:102" ht="31.5" x14ac:dyDescent="0.25">
      <c r="A118" s="13"/>
      <c r="B118" s="14"/>
      <c r="C118" s="14" t="s">
        <v>113</v>
      </c>
      <c r="D118" s="45" t="s">
        <v>235</v>
      </c>
      <c r="E118" s="10">
        <f>SUM(F118+CC118+CU118)</f>
        <v>18576621</v>
      </c>
      <c r="F118" s="11">
        <f>SUM(G118+BC118)</f>
        <v>18576621</v>
      </c>
      <c r="G118" s="11">
        <f>SUM(H118+I118+J118+Q118+T118+U118+V118+AF118+AE118)</f>
        <v>0</v>
      </c>
      <c r="H118" s="11">
        <v>0</v>
      </c>
      <c r="I118" s="11">
        <v>0</v>
      </c>
      <c r="J118" s="11">
        <f>SUM(K118:P118)</f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f t="shared" ref="Q118" si="182">SUM(R118:S118)</f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f>SUM(W118:AD118)</f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f>SUM(AG118:BB118)</f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>
        <v>0</v>
      </c>
      <c r="AV118" s="11"/>
      <c r="AW118" s="11"/>
      <c r="AX118" s="11">
        <v>0</v>
      </c>
      <c r="AY118" s="11">
        <v>0</v>
      </c>
      <c r="AZ118" s="11">
        <v>0</v>
      </c>
      <c r="BA118" s="11">
        <v>0</v>
      </c>
      <c r="BB118" s="11">
        <v>0</v>
      </c>
      <c r="BC118" s="11">
        <f>SUM(BD118+BH118+BL118+BN118+BQ118)</f>
        <v>18576621</v>
      </c>
      <c r="BD118" s="11">
        <f>SUM(BE118:BG118)</f>
        <v>18576621</v>
      </c>
      <c r="BE118" s="11">
        <v>0</v>
      </c>
      <c r="BF118" s="11">
        <v>0</v>
      </c>
      <c r="BG118" s="11">
        <f>0+18576621</f>
        <v>18576621</v>
      </c>
      <c r="BH118" s="11">
        <f t="shared" ref="BH118" si="183">SUM(BJ118:BK118)</f>
        <v>0</v>
      </c>
      <c r="BI118" s="11">
        <v>0</v>
      </c>
      <c r="BJ118" s="11">
        <v>0</v>
      </c>
      <c r="BK118" s="11">
        <v>0</v>
      </c>
      <c r="BL118" s="11">
        <v>0</v>
      </c>
      <c r="BM118" s="11">
        <v>0</v>
      </c>
      <c r="BN118" s="11">
        <f t="shared" ref="BN118" si="184">SUM(BO118)</f>
        <v>0</v>
      </c>
      <c r="BO118" s="11">
        <v>0</v>
      </c>
      <c r="BP118" s="11">
        <v>0</v>
      </c>
      <c r="BQ118" s="11">
        <f t="shared" ref="BQ118" si="185">SUM(BR118:CB118)</f>
        <v>0</v>
      </c>
      <c r="BR118" s="11">
        <v>0</v>
      </c>
      <c r="BS118" s="11">
        <v>0</v>
      </c>
      <c r="BT118" s="11">
        <v>0</v>
      </c>
      <c r="BU118" s="11">
        <v>0</v>
      </c>
      <c r="BV118" s="11">
        <v>0</v>
      </c>
      <c r="BW118" s="11">
        <v>0</v>
      </c>
      <c r="BX118" s="11">
        <v>0</v>
      </c>
      <c r="BY118" s="11">
        <v>0</v>
      </c>
      <c r="BZ118" s="11">
        <v>0</v>
      </c>
      <c r="CA118" s="11">
        <v>0</v>
      </c>
      <c r="CB118" s="11">
        <v>0</v>
      </c>
      <c r="CC118" s="11">
        <f>SUM(CD118+CT118)</f>
        <v>0</v>
      </c>
      <c r="CD118" s="11">
        <f>SUM(CE118+CH118+CM118)</f>
        <v>0</v>
      </c>
      <c r="CE118" s="11">
        <f t="shared" ref="CE118" si="186">SUM(CF118:CG118)</f>
        <v>0</v>
      </c>
      <c r="CF118" s="11">
        <v>0</v>
      </c>
      <c r="CG118" s="11">
        <v>0</v>
      </c>
      <c r="CH118" s="11">
        <f>SUM(CI118:CL118)</f>
        <v>0</v>
      </c>
      <c r="CI118" s="11">
        <v>0</v>
      </c>
      <c r="CJ118" s="11">
        <v>0</v>
      </c>
      <c r="CK118" s="11">
        <v>0</v>
      </c>
      <c r="CL118" s="11">
        <v>0</v>
      </c>
      <c r="CM118" s="11">
        <f>SUM(CN118:CQ118)</f>
        <v>0</v>
      </c>
      <c r="CN118" s="11">
        <v>0</v>
      </c>
      <c r="CO118" s="11">
        <v>0</v>
      </c>
      <c r="CP118" s="11"/>
      <c r="CQ118" s="11">
        <v>0</v>
      </c>
      <c r="CR118" s="11">
        <v>0</v>
      </c>
      <c r="CS118" s="11">
        <v>0</v>
      </c>
      <c r="CT118" s="11">
        <v>0</v>
      </c>
      <c r="CU118" s="11">
        <f t="shared" ref="CU118" si="187">SUM(CV118)</f>
        <v>0</v>
      </c>
      <c r="CV118" s="11">
        <f t="shared" ref="CV118" si="188">SUM(CW118:CX118)</f>
        <v>0</v>
      </c>
      <c r="CW118" s="11">
        <v>0</v>
      </c>
      <c r="CX118" s="12">
        <v>0</v>
      </c>
    </row>
    <row r="119" spans="1:102" ht="15.75" x14ac:dyDescent="0.25">
      <c r="A119" s="7"/>
      <c r="B119" s="8" t="s">
        <v>236</v>
      </c>
      <c r="C119" s="8" t="s">
        <v>1</v>
      </c>
      <c r="D119" s="9" t="s">
        <v>237</v>
      </c>
      <c r="E119" s="10">
        <f t="shared" ref="E119:AL119" si="189">SUM(E120)</f>
        <v>5035516</v>
      </c>
      <c r="F119" s="11">
        <f t="shared" si="189"/>
        <v>5035516</v>
      </c>
      <c r="G119" s="11">
        <f t="shared" si="189"/>
        <v>5035516</v>
      </c>
      <c r="H119" s="11">
        <f t="shared" si="189"/>
        <v>0</v>
      </c>
      <c r="I119" s="11">
        <f t="shared" si="189"/>
        <v>0</v>
      </c>
      <c r="J119" s="11">
        <f t="shared" si="189"/>
        <v>0</v>
      </c>
      <c r="K119" s="11">
        <f t="shared" si="189"/>
        <v>0</v>
      </c>
      <c r="L119" s="11">
        <f t="shared" si="189"/>
        <v>0</v>
      </c>
      <c r="M119" s="11">
        <f t="shared" si="189"/>
        <v>0</v>
      </c>
      <c r="N119" s="11">
        <f t="shared" si="189"/>
        <v>0</v>
      </c>
      <c r="O119" s="11">
        <f t="shared" si="189"/>
        <v>0</v>
      </c>
      <c r="P119" s="11">
        <f t="shared" si="189"/>
        <v>0</v>
      </c>
      <c r="Q119" s="11">
        <f t="shared" si="189"/>
        <v>0</v>
      </c>
      <c r="R119" s="11">
        <f t="shared" si="189"/>
        <v>0</v>
      </c>
      <c r="S119" s="11">
        <f t="shared" si="189"/>
        <v>0</v>
      </c>
      <c r="T119" s="11">
        <f t="shared" si="189"/>
        <v>0</v>
      </c>
      <c r="U119" s="11">
        <f t="shared" si="189"/>
        <v>0</v>
      </c>
      <c r="V119" s="11">
        <f t="shared" si="189"/>
        <v>0</v>
      </c>
      <c r="W119" s="11">
        <f t="shared" si="189"/>
        <v>0</v>
      </c>
      <c r="X119" s="11">
        <f t="shared" si="189"/>
        <v>0</v>
      </c>
      <c r="Y119" s="11">
        <f t="shared" si="189"/>
        <v>0</v>
      </c>
      <c r="Z119" s="11">
        <f t="shared" si="189"/>
        <v>0</v>
      </c>
      <c r="AA119" s="11">
        <f t="shared" si="189"/>
        <v>0</v>
      </c>
      <c r="AB119" s="11">
        <f t="shared" si="189"/>
        <v>0</v>
      </c>
      <c r="AC119" s="11">
        <f t="shared" si="189"/>
        <v>0</v>
      </c>
      <c r="AD119" s="11">
        <f t="shared" si="189"/>
        <v>0</v>
      </c>
      <c r="AE119" s="11">
        <f t="shared" si="189"/>
        <v>0</v>
      </c>
      <c r="AF119" s="11">
        <f t="shared" si="189"/>
        <v>5035516</v>
      </c>
      <c r="AG119" s="11">
        <f t="shared" si="189"/>
        <v>0</v>
      </c>
      <c r="AH119" s="11">
        <f t="shared" si="189"/>
        <v>0</v>
      </c>
      <c r="AI119" s="11">
        <f t="shared" si="189"/>
        <v>0</v>
      </c>
      <c r="AJ119" s="11">
        <f t="shared" si="189"/>
        <v>0</v>
      </c>
      <c r="AK119" s="11">
        <f t="shared" si="189"/>
        <v>0</v>
      </c>
      <c r="AL119" s="11">
        <f t="shared" si="189"/>
        <v>0</v>
      </c>
      <c r="AM119" s="11">
        <f t="shared" ref="AM119:CX119" si="190">SUM(AM120)</f>
        <v>0</v>
      </c>
      <c r="AN119" s="11">
        <f t="shared" si="190"/>
        <v>0</v>
      </c>
      <c r="AO119" s="11">
        <f t="shared" si="190"/>
        <v>0</v>
      </c>
      <c r="AP119" s="11">
        <f t="shared" si="190"/>
        <v>0</v>
      </c>
      <c r="AQ119" s="11">
        <f t="shared" si="190"/>
        <v>0</v>
      </c>
      <c r="AR119" s="11">
        <f t="shared" si="190"/>
        <v>0</v>
      </c>
      <c r="AS119" s="11">
        <f t="shared" si="190"/>
        <v>0</v>
      </c>
      <c r="AT119" s="11">
        <f t="shared" si="190"/>
        <v>0</v>
      </c>
      <c r="AU119" s="11">
        <f t="shared" si="190"/>
        <v>0</v>
      </c>
      <c r="AV119" s="11"/>
      <c r="AW119" s="11"/>
      <c r="AX119" s="11">
        <f t="shared" si="190"/>
        <v>0</v>
      </c>
      <c r="AY119" s="11">
        <f t="shared" si="190"/>
        <v>0</v>
      </c>
      <c r="AZ119" s="11">
        <f t="shared" si="190"/>
        <v>0</v>
      </c>
      <c r="BA119" s="11">
        <f t="shared" si="190"/>
        <v>0</v>
      </c>
      <c r="BB119" s="11">
        <f t="shared" si="190"/>
        <v>5035516</v>
      </c>
      <c r="BC119" s="11">
        <f t="shared" si="190"/>
        <v>0</v>
      </c>
      <c r="BD119" s="11">
        <f t="shared" si="190"/>
        <v>0</v>
      </c>
      <c r="BE119" s="11">
        <f t="shared" si="190"/>
        <v>0</v>
      </c>
      <c r="BF119" s="11">
        <f t="shared" si="190"/>
        <v>0</v>
      </c>
      <c r="BG119" s="11">
        <f t="shared" si="190"/>
        <v>0</v>
      </c>
      <c r="BH119" s="11">
        <f t="shared" si="190"/>
        <v>0</v>
      </c>
      <c r="BI119" s="11">
        <f t="shared" si="190"/>
        <v>0</v>
      </c>
      <c r="BJ119" s="11">
        <f t="shared" si="190"/>
        <v>0</v>
      </c>
      <c r="BK119" s="11">
        <f t="shared" si="190"/>
        <v>0</v>
      </c>
      <c r="BL119" s="11">
        <f t="shared" si="190"/>
        <v>0</v>
      </c>
      <c r="BM119" s="11">
        <f t="shared" si="190"/>
        <v>0</v>
      </c>
      <c r="BN119" s="11">
        <f t="shared" si="190"/>
        <v>0</v>
      </c>
      <c r="BO119" s="11">
        <f t="shared" si="190"/>
        <v>0</v>
      </c>
      <c r="BP119" s="11">
        <f t="shared" si="190"/>
        <v>0</v>
      </c>
      <c r="BQ119" s="11">
        <f t="shared" si="190"/>
        <v>0</v>
      </c>
      <c r="BR119" s="11">
        <f t="shared" si="190"/>
        <v>0</v>
      </c>
      <c r="BS119" s="11">
        <f t="shared" si="190"/>
        <v>0</v>
      </c>
      <c r="BT119" s="11">
        <f t="shared" si="190"/>
        <v>0</v>
      </c>
      <c r="BU119" s="11">
        <f t="shared" si="190"/>
        <v>0</v>
      </c>
      <c r="BV119" s="11">
        <f t="shared" si="190"/>
        <v>0</v>
      </c>
      <c r="BW119" s="11">
        <f t="shared" si="190"/>
        <v>0</v>
      </c>
      <c r="BX119" s="11">
        <f t="shared" si="190"/>
        <v>0</v>
      </c>
      <c r="BY119" s="11">
        <f t="shared" si="190"/>
        <v>0</v>
      </c>
      <c r="BZ119" s="11">
        <f t="shared" si="190"/>
        <v>0</v>
      </c>
      <c r="CA119" s="11">
        <f t="shared" si="190"/>
        <v>0</v>
      </c>
      <c r="CB119" s="11">
        <f t="shared" si="190"/>
        <v>0</v>
      </c>
      <c r="CC119" s="11">
        <f t="shared" si="190"/>
        <v>0</v>
      </c>
      <c r="CD119" s="11">
        <f t="shared" si="190"/>
        <v>0</v>
      </c>
      <c r="CE119" s="11">
        <f t="shared" si="190"/>
        <v>0</v>
      </c>
      <c r="CF119" s="11">
        <f t="shared" si="190"/>
        <v>0</v>
      </c>
      <c r="CG119" s="11">
        <f t="shared" si="190"/>
        <v>0</v>
      </c>
      <c r="CH119" s="11">
        <f t="shared" si="190"/>
        <v>0</v>
      </c>
      <c r="CI119" s="11">
        <f t="shared" si="190"/>
        <v>0</v>
      </c>
      <c r="CJ119" s="11">
        <f t="shared" si="190"/>
        <v>0</v>
      </c>
      <c r="CK119" s="11">
        <f t="shared" si="190"/>
        <v>0</v>
      </c>
      <c r="CL119" s="11">
        <f t="shared" si="190"/>
        <v>0</v>
      </c>
      <c r="CM119" s="11">
        <f t="shared" si="190"/>
        <v>0</v>
      </c>
      <c r="CN119" s="11">
        <f t="shared" si="190"/>
        <v>0</v>
      </c>
      <c r="CO119" s="11">
        <f t="shared" si="190"/>
        <v>0</v>
      </c>
      <c r="CP119" s="11"/>
      <c r="CQ119" s="11">
        <f t="shared" si="190"/>
        <v>0</v>
      </c>
      <c r="CR119" s="11">
        <f t="shared" si="190"/>
        <v>0</v>
      </c>
      <c r="CS119" s="11">
        <f t="shared" si="190"/>
        <v>0</v>
      </c>
      <c r="CT119" s="11">
        <f t="shared" si="190"/>
        <v>0</v>
      </c>
      <c r="CU119" s="11">
        <f t="shared" si="190"/>
        <v>0</v>
      </c>
      <c r="CV119" s="11">
        <f t="shared" si="190"/>
        <v>0</v>
      </c>
      <c r="CW119" s="11">
        <f t="shared" si="190"/>
        <v>0</v>
      </c>
      <c r="CX119" s="12">
        <f t="shared" si="190"/>
        <v>0</v>
      </c>
    </row>
    <row r="120" spans="1:102" ht="15.75" x14ac:dyDescent="0.25">
      <c r="A120" s="13"/>
      <c r="B120" s="14" t="s">
        <v>1</v>
      </c>
      <c r="C120" s="14" t="s">
        <v>127</v>
      </c>
      <c r="D120" s="15" t="s">
        <v>238</v>
      </c>
      <c r="E120" s="10">
        <f>SUM(F120+CC120+CU120)</f>
        <v>5035516</v>
      </c>
      <c r="F120" s="11">
        <f>SUM(G120+BC120)</f>
        <v>5035516</v>
      </c>
      <c r="G120" s="11">
        <f>SUM(H120+I120+J120+Q120+T120+U120+V120+AF120+AE120)</f>
        <v>5035516</v>
      </c>
      <c r="H120" s="11">
        <v>0</v>
      </c>
      <c r="I120" s="11">
        <v>0</v>
      </c>
      <c r="J120" s="11">
        <f>SUM(K120:P120)</f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f t="shared" si="99"/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f>SUM(W120:AD120)</f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f>SUM(AG120:BB120)</f>
        <v>5035516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/>
      <c r="AW120" s="11"/>
      <c r="AX120" s="11">
        <v>0</v>
      </c>
      <c r="AY120" s="11">
        <v>0</v>
      </c>
      <c r="AZ120" s="11">
        <v>0</v>
      </c>
      <c r="BA120" s="11">
        <v>0</v>
      </c>
      <c r="BB120" s="16">
        <f>5158056-122540</f>
        <v>5035516</v>
      </c>
      <c r="BC120" s="11">
        <f>SUM(BD120+BH120+BL120+BN120+BQ120)</f>
        <v>0</v>
      </c>
      <c r="BD120" s="11">
        <f>SUM(BE120:BG120)</f>
        <v>0</v>
      </c>
      <c r="BE120" s="11">
        <v>0</v>
      </c>
      <c r="BF120" s="11">
        <v>0</v>
      </c>
      <c r="BG120" s="11">
        <v>0</v>
      </c>
      <c r="BH120" s="11">
        <f t="shared" si="100"/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f t="shared" si="101"/>
        <v>0</v>
      </c>
      <c r="BO120" s="11">
        <v>0</v>
      </c>
      <c r="BP120" s="11">
        <v>0</v>
      </c>
      <c r="BQ120" s="11">
        <f t="shared" si="102"/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0</v>
      </c>
      <c r="CC120" s="11">
        <f>SUM(CD120+CT120)</f>
        <v>0</v>
      </c>
      <c r="CD120" s="11">
        <f>SUM(CE120+CH120+CM120)</f>
        <v>0</v>
      </c>
      <c r="CE120" s="11">
        <f t="shared" si="103"/>
        <v>0</v>
      </c>
      <c r="CF120" s="11">
        <v>0</v>
      </c>
      <c r="CG120" s="11">
        <v>0</v>
      </c>
      <c r="CH120" s="11">
        <f>SUM(CI120:CL120)</f>
        <v>0</v>
      </c>
      <c r="CI120" s="11">
        <v>0</v>
      </c>
      <c r="CJ120" s="11">
        <v>0</v>
      </c>
      <c r="CK120" s="11">
        <v>0</v>
      </c>
      <c r="CL120" s="11">
        <v>0</v>
      </c>
      <c r="CM120" s="11">
        <f>SUM(CN120:CQ120)</f>
        <v>0</v>
      </c>
      <c r="CN120" s="11">
        <v>0</v>
      </c>
      <c r="CO120" s="11">
        <v>0</v>
      </c>
      <c r="CP120" s="11"/>
      <c r="CQ120" s="11">
        <v>0</v>
      </c>
      <c r="CR120" s="11">
        <v>0</v>
      </c>
      <c r="CS120" s="11">
        <v>0</v>
      </c>
      <c r="CT120" s="11">
        <v>0</v>
      </c>
      <c r="CU120" s="11">
        <f t="shared" si="104"/>
        <v>0</v>
      </c>
      <c r="CV120" s="11">
        <f t="shared" si="105"/>
        <v>0</v>
      </c>
      <c r="CW120" s="11">
        <v>0</v>
      </c>
      <c r="CX120" s="12">
        <v>0</v>
      </c>
    </row>
    <row r="121" spans="1:102" ht="31.5" x14ac:dyDescent="0.25">
      <c r="A121" s="7"/>
      <c r="B121" s="8" t="s">
        <v>239</v>
      </c>
      <c r="C121" s="8" t="s">
        <v>1</v>
      </c>
      <c r="D121" s="9" t="s">
        <v>240</v>
      </c>
      <c r="E121" s="10">
        <f>SUM(E122:E123)</f>
        <v>1503743</v>
      </c>
      <c r="F121" s="11">
        <f t="shared" ref="F121" si="191">SUM(F122:F123)</f>
        <v>1503743</v>
      </c>
      <c r="G121" s="11">
        <f t="shared" ref="G121" si="192">SUM(G122:G123)</f>
        <v>1503743</v>
      </c>
      <c r="H121" s="11">
        <f t="shared" ref="H121" si="193">SUM(H122:H123)</f>
        <v>0</v>
      </c>
      <c r="I121" s="11">
        <f t="shared" ref="I121" si="194">SUM(I122:I123)</f>
        <v>0</v>
      </c>
      <c r="J121" s="11">
        <f t="shared" ref="J121" si="195">SUM(J122:J123)</f>
        <v>0</v>
      </c>
      <c r="K121" s="11">
        <f t="shared" ref="K121" si="196">SUM(K122:K123)</f>
        <v>0</v>
      </c>
      <c r="L121" s="11">
        <f t="shared" ref="L121" si="197">SUM(L122:L123)</f>
        <v>0</v>
      </c>
      <c r="M121" s="11">
        <f t="shared" ref="M121" si="198">SUM(M122:M123)</f>
        <v>0</v>
      </c>
      <c r="N121" s="11">
        <f t="shared" ref="N121" si="199">SUM(N122:N123)</f>
        <v>0</v>
      </c>
      <c r="O121" s="11">
        <f t="shared" ref="O121" si="200">SUM(O122:O123)</f>
        <v>0</v>
      </c>
      <c r="P121" s="11">
        <f t="shared" ref="P121" si="201">SUM(P122:P123)</f>
        <v>0</v>
      </c>
      <c r="Q121" s="11">
        <f t="shared" ref="Q121" si="202">SUM(Q122:Q123)</f>
        <v>0</v>
      </c>
      <c r="R121" s="11">
        <f t="shared" ref="R121" si="203">SUM(R122:R123)</f>
        <v>0</v>
      </c>
      <c r="S121" s="11">
        <f t="shared" ref="S121" si="204">SUM(S122:S123)</f>
        <v>0</v>
      </c>
      <c r="T121" s="11">
        <f t="shared" ref="T121" si="205">SUM(T122:T123)</f>
        <v>0</v>
      </c>
      <c r="U121" s="11">
        <f t="shared" ref="U121" si="206">SUM(U122:U123)</f>
        <v>0</v>
      </c>
      <c r="V121" s="11">
        <f t="shared" ref="V121" si="207">SUM(V122:V123)</f>
        <v>0</v>
      </c>
      <c r="W121" s="11">
        <f t="shared" ref="W121" si="208">SUM(W122:W123)</f>
        <v>0</v>
      </c>
      <c r="X121" s="11">
        <f t="shared" ref="X121" si="209">SUM(X122:X123)</f>
        <v>0</v>
      </c>
      <c r="Y121" s="11">
        <f t="shared" ref="Y121" si="210">SUM(Y122:Y123)</f>
        <v>0</v>
      </c>
      <c r="Z121" s="11">
        <f t="shared" ref="Z121" si="211">SUM(Z122:Z123)</f>
        <v>0</v>
      </c>
      <c r="AA121" s="11">
        <f t="shared" ref="AA121" si="212">SUM(AA122:AA123)</f>
        <v>0</v>
      </c>
      <c r="AB121" s="11">
        <f t="shared" ref="AB121" si="213">SUM(AB122:AB123)</f>
        <v>0</v>
      </c>
      <c r="AC121" s="11">
        <f t="shared" ref="AC121" si="214">SUM(AC122:AC123)</f>
        <v>0</v>
      </c>
      <c r="AD121" s="11">
        <f t="shared" ref="AD121" si="215">SUM(AD122:AD123)</f>
        <v>0</v>
      </c>
      <c r="AE121" s="11">
        <f t="shared" ref="AE121" si="216">SUM(AE122:AE123)</f>
        <v>0</v>
      </c>
      <c r="AF121" s="11">
        <f t="shared" ref="AF121" si="217">SUM(AF122:AF123)</f>
        <v>1503743</v>
      </c>
      <c r="AG121" s="11">
        <f t="shared" ref="AG121" si="218">SUM(AG122:AG123)</f>
        <v>0</v>
      </c>
      <c r="AH121" s="11">
        <f t="shared" ref="AH121" si="219">SUM(AH122:AH123)</f>
        <v>0</v>
      </c>
      <c r="AI121" s="11">
        <f t="shared" ref="AI121" si="220">SUM(AI122:AI123)</f>
        <v>0</v>
      </c>
      <c r="AJ121" s="11">
        <f t="shared" ref="AJ121" si="221">SUM(AJ122:AJ123)</f>
        <v>0</v>
      </c>
      <c r="AK121" s="11">
        <f t="shared" ref="AK121" si="222">SUM(AK122:AK123)</f>
        <v>0</v>
      </c>
      <c r="AL121" s="11">
        <f t="shared" ref="AL121" si="223">SUM(AL122:AL123)</f>
        <v>0</v>
      </c>
      <c r="AM121" s="11">
        <f t="shared" ref="AM121" si="224">SUM(AM122:AM123)</f>
        <v>0</v>
      </c>
      <c r="AN121" s="11">
        <f t="shared" ref="AN121" si="225">SUM(AN122:AN123)</f>
        <v>0</v>
      </c>
      <c r="AO121" s="11">
        <f t="shared" ref="AO121" si="226">SUM(AO122:AO123)</f>
        <v>0</v>
      </c>
      <c r="AP121" s="11">
        <f t="shared" ref="AP121" si="227">SUM(AP122:AP123)</f>
        <v>0</v>
      </c>
      <c r="AQ121" s="11">
        <f t="shared" ref="AQ121" si="228">SUM(AQ122:AQ123)</f>
        <v>0</v>
      </c>
      <c r="AR121" s="11">
        <f t="shared" ref="AR121:AS121" si="229">SUM(AR122:AR123)</f>
        <v>0</v>
      </c>
      <c r="AS121" s="11">
        <f t="shared" si="229"/>
        <v>0</v>
      </c>
      <c r="AT121" s="11">
        <f t="shared" ref="AT121" si="230">SUM(AT122:AT123)</f>
        <v>0</v>
      </c>
      <c r="AU121" s="11">
        <f t="shared" ref="AU121" si="231">SUM(AU122:AU123)</f>
        <v>0</v>
      </c>
      <c r="AV121" s="11">
        <f t="shared" ref="AV121" si="232">SUM(AV122:AV123)</f>
        <v>0</v>
      </c>
      <c r="AW121" s="11">
        <f t="shared" ref="AW121" si="233">SUM(AW122:AW123)</f>
        <v>0</v>
      </c>
      <c r="AX121" s="11">
        <f t="shared" ref="AX121" si="234">SUM(AX122:AX123)</f>
        <v>0</v>
      </c>
      <c r="AY121" s="11">
        <f t="shared" ref="AY121" si="235">SUM(AY122:AY123)</f>
        <v>0</v>
      </c>
      <c r="AZ121" s="11">
        <f t="shared" ref="AZ121" si="236">SUM(AZ122:AZ123)</f>
        <v>0</v>
      </c>
      <c r="BA121" s="11">
        <f t="shared" ref="BA121" si="237">SUM(BA122:BA123)</f>
        <v>0</v>
      </c>
      <c r="BB121" s="11">
        <f t="shared" ref="BB121" si="238">SUM(BB122:BB123)</f>
        <v>1503743</v>
      </c>
      <c r="BC121" s="11">
        <f t="shared" ref="BC121" si="239">SUM(BC122:BC123)</f>
        <v>0</v>
      </c>
      <c r="BD121" s="11">
        <f t="shared" ref="BD121" si="240">SUM(BD122:BD123)</f>
        <v>0</v>
      </c>
      <c r="BE121" s="11">
        <f t="shared" ref="BE121" si="241">SUM(BE122:BE123)</f>
        <v>0</v>
      </c>
      <c r="BF121" s="11">
        <f t="shared" ref="BF121" si="242">SUM(BF122:BF123)</f>
        <v>0</v>
      </c>
      <c r="BG121" s="11">
        <f t="shared" ref="BG121" si="243">SUM(BG122:BG123)</f>
        <v>0</v>
      </c>
      <c r="BH121" s="11">
        <f t="shared" ref="BH121" si="244">SUM(BH122:BH123)</f>
        <v>0</v>
      </c>
      <c r="BI121" s="11">
        <f t="shared" ref="BI121" si="245">SUM(BI122:BI123)</f>
        <v>0</v>
      </c>
      <c r="BJ121" s="11">
        <f t="shared" ref="BJ121" si="246">SUM(BJ122:BJ123)</f>
        <v>0</v>
      </c>
      <c r="BK121" s="11">
        <f t="shared" ref="BK121" si="247">SUM(BK122:BK123)</f>
        <v>0</v>
      </c>
      <c r="BL121" s="11">
        <f t="shared" ref="BL121" si="248">SUM(BL122:BL123)</f>
        <v>0</v>
      </c>
      <c r="BM121" s="11">
        <f t="shared" ref="BM121" si="249">SUM(BM122:BM123)</f>
        <v>0</v>
      </c>
      <c r="BN121" s="11">
        <f t="shared" ref="BN121" si="250">SUM(BN122:BN123)</f>
        <v>0</v>
      </c>
      <c r="BO121" s="11">
        <f t="shared" ref="BO121:BP121" si="251">SUM(BO122:BO123)</f>
        <v>0</v>
      </c>
      <c r="BP121" s="11">
        <f t="shared" si="251"/>
        <v>0</v>
      </c>
      <c r="BQ121" s="11">
        <f t="shared" ref="BQ121" si="252">SUM(BQ122:BQ123)</f>
        <v>0</v>
      </c>
      <c r="BR121" s="11">
        <f t="shared" ref="BR121" si="253">SUM(BR122:BR123)</f>
        <v>0</v>
      </c>
      <c r="BS121" s="11">
        <f t="shared" ref="BS121" si="254">SUM(BS122:BS123)</f>
        <v>0</v>
      </c>
      <c r="BT121" s="11">
        <f t="shared" ref="BT121" si="255">SUM(BT122:BT123)</f>
        <v>0</v>
      </c>
      <c r="BU121" s="11">
        <f t="shared" ref="BU121" si="256">SUM(BU122:BU123)</f>
        <v>0</v>
      </c>
      <c r="BV121" s="11">
        <f t="shared" ref="BV121" si="257">SUM(BV122:BV123)</f>
        <v>0</v>
      </c>
      <c r="BW121" s="11">
        <f t="shared" ref="BW121" si="258">SUM(BW122:BW123)</f>
        <v>0</v>
      </c>
      <c r="BX121" s="11">
        <f t="shared" ref="BX121" si="259">SUM(BX122:BX123)</f>
        <v>0</v>
      </c>
      <c r="BY121" s="11">
        <f t="shared" ref="BY121" si="260">SUM(BY122:BY123)</f>
        <v>0</v>
      </c>
      <c r="BZ121" s="11">
        <f t="shared" ref="BZ121" si="261">SUM(BZ122:BZ123)</f>
        <v>0</v>
      </c>
      <c r="CA121" s="11">
        <f t="shared" ref="CA121" si="262">SUM(CA122:CA123)</f>
        <v>0</v>
      </c>
      <c r="CB121" s="11">
        <f t="shared" ref="CB121" si="263">SUM(CB122:CB123)</f>
        <v>0</v>
      </c>
      <c r="CC121" s="11">
        <f t="shared" ref="CC121" si="264">SUM(CC122:CC123)</f>
        <v>0</v>
      </c>
      <c r="CD121" s="11">
        <f t="shared" ref="CD121" si="265">SUM(CD122:CD123)</f>
        <v>0</v>
      </c>
      <c r="CE121" s="11">
        <f t="shared" ref="CE121" si="266">SUM(CE122:CE123)</f>
        <v>0</v>
      </c>
      <c r="CF121" s="11">
        <f t="shared" ref="CF121" si="267">SUM(CF122:CF123)</f>
        <v>0</v>
      </c>
      <c r="CG121" s="11">
        <f t="shared" ref="CG121" si="268">SUM(CG122:CG123)</f>
        <v>0</v>
      </c>
      <c r="CH121" s="11">
        <f t="shared" ref="CH121" si="269">SUM(CH122:CH123)</f>
        <v>0</v>
      </c>
      <c r="CI121" s="11">
        <f t="shared" ref="CI121" si="270">SUM(CI122:CI123)</f>
        <v>0</v>
      </c>
      <c r="CJ121" s="11">
        <f t="shared" ref="CJ121" si="271">SUM(CJ122:CJ123)</f>
        <v>0</v>
      </c>
      <c r="CK121" s="11">
        <f t="shared" ref="CK121" si="272">SUM(CK122:CK123)</f>
        <v>0</v>
      </c>
      <c r="CL121" s="11">
        <f t="shared" ref="CL121" si="273">SUM(CL122:CL123)</f>
        <v>0</v>
      </c>
      <c r="CM121" s="11">
        <f t="shared" ref="CM121" si="274">SUM(CM122:CM123)</f>
        <v>0</v>
      </c>
      <c r="CN121" s="11">
        <f t="shared" ref="CN121" si="275">SUM(CN122:CN123)</f>
        <v>0</v>
      </c>
      <c r="CO121" s="11">
        <f t="shared" ref="CO121" si="276">SUM(CO122:CO123)</f>
        <v>0</v>
      </c>
      <c r="CP121" s="11">
        <f t="shared" ref="CP121" si="277">SUM(CP122:CP123)</f>
        <v>0</v>
      </c>
      <c r="CQ121" s="11">
        <f t="shared" ref="CQ121" si="278">SUM(CQ122:CQ123)</f>
        <v>0</v>
      </c>
      <c r="CR121" s="11">
        <f t="shared" ref="CR121" si="279">SUM(CR122:CR123)</f>
        <v>0</v>
      </c>
      <c r="CS121" s="11">
        <f t="shared" ref="CS121" si="280">SUM(CS122:CS123)</f>
        <v>0</v>
      </c>
      <c r="CT121" s="11">
        <f t="shared" ref="CT121" si="281">SUM(CT122:CT123)</f>
        <v>0</v>
      </c>
      <c r="CU121" s="11">
        <f t="shared" ref="CU121" si="282">SUM(CU122:CU123)</f>
        <v>0</v>
      </c>
      <c r="CV121" s="11">
        <f t="shared" ref="CV121" si="283">SUM(CV122:CV123)</f>
        <v>0</v>
      </c>
      <c r="CW121" s="11">
        <f t="shared" ref="CW121" si="284">SUM(CW122:CW123)</f>
        <v>0</v>
      </c>
      <c r="CX121" s="12">
        <f t="shared" ref="CX121" si="285">SUM(CX122:CX123)</f>
        <v>0</v>
      </c>
    </row>
    <row r="122" spans="1:102" ht="15.75" x14ac:dyDescent="0.25">
      <c r="A122" s="7"/>
      <c r="B122" s="8"/>
      <c r="C122" s="14" t="s">
        <v>102</v>
      </c>
      <c r="D122" s="15" t="s">
        <v>241</v>
      </c>
      <c r="E122" s="10">
        <f>SUM(F122+CC122+CU122)</f>
        <v>0</v>
      </c>
      <c r="F122" s="11">
        <f>SUM(G122+BC122)</f>
        <v>0</v>
      </c>
      <c r="G122" s="11">
        <f>SUM(H122+I122+J122+Q122+T122+U122+V122+AF122+AE122)</f>
        <v>0</v>
      </c>
      <c r="H122" s="11">
        <v>0</v>
      </c>
      <c r="I122" s="11">
        <v>0</v>
      </c>
      <c r="J122" s="11">
        <f>SUM(K122:P122)</f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f t="shared" ref="Q122" si="286">SUM(R122:S122)</f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f>SUM(W122:AD122)</f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f>SUM(AG122:BB122)</f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>
        <v>0</v>
      </c>
      <c r="AV122" s="11"/>
      <c r="AW122" s="11"/>
      <c r="AX122" s="11">
        <v>0</v>
      </c>
      <c r="AY122" s="11">
        <v>0</v>
      </c>
      <c r="AZ122" s="11">
        <v>0</v>
      </c>
      <c r="BA122" s="11">
        <v>0</v>
      </c>
      <c r="BB122" s="16">
        <f>1503743-1503743</f>
        <v>0</v>
      </c>
      <c r="BC122" s="11">
        <f>SUM(BD122+BH122+BL122+BN122+BQ122)</f>
        <v>0</v>
      </c>
      <c r="BD122" s="11">
        <f>SUM(BE122:BG122)</f>
        <v>0</v>
      </c>
      <c r="BE122" s="11">
        <v>0</v>
      </c>
      <c r="BF122" s="11">
        <v>0</v>
      </c>
      <c r="BG122" s="11">
        <v>0</v>
      </c>
      <c r="BH122" s="11">
        <f t="shared" ref="BH122" si="287">SUM(BJ122:BK122)</f>
        <v>0</v>
      </c>
      <c r="BI122" s="11">
        <v>0</v>
      </c>
      <c r="BJ122" s="11">
        <v>0</v>
      </c>
      <c r="BK122" s="11">
        <v>0</v>
      </c>
      <c r="BL122" s="11">
        <v>0</v>
      </c>
      <c r="BM122" s="11">
        <v>0</v>
      </c>
      <c r="BN122" s="11">
        <f t="shared" ref="BN122" si="288">SUM(BO122)</f>
        <v>0</v>
      </c>
      <c r="BO122" s="11">
        <v>0</v>
      </c>
      <c r="BP122" s="11">
        <v>0</v>
      </c>
      <c r="BQ122" s="11">
        <f t="shared" ref="BQ122" si="289">SUM(BR122:CB122)</f>
        <v>0</v>
      </c>
      <c r="BR122" s="11">
        <v>0</v>
      </c>
      <c r="BS122" s="11">
        <v>0</v>
      </c>
      <c r="BT122" s="11">
        <v>0</v>
      </c>
      <c r="BU122" s="11">
        <v>0</v>
      </c>
      <c r="BV122" s="11">
        <v>0</v>
      </c>
      <c r="BW122" s="11">
        <v>0</v>
      </c>
      <c r="BX122" s="11">
        <v>0</v>
      </c>
      <c r="BY122" s="11">
        <v>0</v>
      </c>
      <c r="BZ122" s="11">
        <v>0</v>
      </c>
      <c r="CA122" s="11">
        <v>0</v>
      </c>
      <c r="CB122" s="11">
        <v>0</v>
      </c>
      <c r="CC122" s="11">
        <f>SUM(CD122+CT122)</f>
        <v>0</v>
      </c>
      <c r="CD122" s="11">
        <f>SUM(CE122+CH122+CM122)</f>
        <v>0</v>
      </c>
      <c r="CE122" s="11">
        <f t="shared" ref="CE122" si="290">SUM(CF122:CG122)</f>
        <v>0</v>
      </c>
      <c r="CF122" s="11">
        <v>0</v>
      </c>
      <c r="CG122" s="11">
        <v>0</v>
      </c>
      <c r="CH122" s="11">
        <f>SUM(CI122:CL122)</f>
        <v>0</v>
      </c>
      <c r="CI122" s="11">
        <v>0</v>
      </c>
      <c r="CJ122" s="11">
        <v>0</v>
      </c>
      <c r="CK122" s="11">
        <v>0</v>
      </c>
      <c r="CL122" s="11">
        <v>0</v>
      </c>
      <c r="CM122" s="11">
        <f>SUM(CN122:CQ122)</f>
        <v>0</v>
      </c>
      <c r="CN122" s="11">
        <v>0</v>
      </c>
      <c r="CO122" s="11">
        <v>0</v>
      </c>
      <c r="CP122" s="11"/>
      <c r="CQ122" s="11">
        <v>0</v>
      </c>
      <c r="CR122" s="11">
        <v>0</v>
      </c>
      <c r="CS122" s="11">
        <v>0</v>
      </c>
      <c r="CT122" s="11">
        <v>0</v>
      </c>
      <c r="CU122" s="11">
        <f t="shared" ref="CU122" si="291">SUM(CV122)</f>
        <v>0</v>
      </c>
      <c r="CV122" s="11">
        <f t="shared" ref="CV122" si="292">SUM(CW122:CX122)</f>
        <v>0</v>
      </c>
      <c r="CW122" s="11">
        <v>0</v>
      </c>
      <c r="CX122" s="12">
        <v>0</v>
      </c>
    </row>
    <row r="123" spans="1:102" ht="31.5" x14ac:dyDescent="0.25">
      <c r="A123" s="13" t="s">
        <v>1</v>
      </c>
      <c r="B123" s="14" t="s">
        <v>1</v>
      </c>
      <c r="C123" s="14" t="s">
        <v>113</v>
      </c>
      <c r="D123" s="15" t="s">
        <v>608</v>
      </c>
      <c r="E123" s="10">
        <f>SUM(F123+CC123+CU123)</f>
        <v>1503743</v>
      </c>
      <c r="F123" s="11">
        <f>SUM(G123+BC123)</f>
        <v>1503743</v>
      </c>
      <c r="G123" s="11">
        <f>SUM(H123+I123+J123+Q123+T123+U123+V123+AF123+AE123)</f>
        <v>1503743</v>
      </c>
      <c r="H123" s="11">
        <v>0</v>
      </c>
      <c r="I123" s="11">
        <v>0</v>
      </c>
      <c r="J123" s="11">
        <f>SUM(K123:P123)</f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f t="shared" si="99"/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f>SUM(W123:AD123)</f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f>SUM(AG123:BB123)</f>
        <v>1503743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/>
      <c r="AW123" s="11"/>
      <c r="AX123" s="11">
        <v>0</v>
      </c>
      <c r="AY123" s="11">
        <v>0</v>
      </c>
      <c r="AZ123" s="11">
        <v>0</v>
      </c>
      <c r="BA123" s="11">
        <v>0</v>
      </c>
      <c r="BB123" s="16">
        <f>0+1503743</f>
        <v>1503743</v>
      </c>
      <c r="BC123" s="11">
        <f>SUM(BD123+BH123+BL123+BN123+BQ123)</f>
        <v>0</v>
      </c>
      <c r="BD123" s="11">
        <f>SUM(BE123:BG123)</f>
        <v>0</v>
      </c>
      <c r="BE123" s="11">
        <v>0</v>
      </c>
      <c r="BF123" s="11">
        <v>0</v>
      </c>
      <c r="BG123" s="11">
        <v>0</v>
      </c>
      <c r="BH123" s="11">
        <f t="shared" si="100"/>
        <v>0</v>
      </c>
      <c r="BI123" s="11">
        <v>0</v>
      </c>
      <c r="BJ123" s="11">
        <v>0</v>
      </c>
      <c r="BK123" s="11">
        <v>0</v>
      </c>
      <c r="BL123" s="11">
        <v>0</v>
      </c>
      <c r="BM123" s="11">
        <v>0</v>
      </c>
      <c r="BN123" s="11">
        <f t="shared" si="101"/>
        <v>0</v>
      </c>
      <c r="BO123" s="11">
        <v>0</v>
      </c>
      <c r="BP123" s="11">
        <v>0</v>
      </c>
      <c r="BQ123" s="11">
        <f t="shared" si="102"/>
        <v>0</v>
      </c>
      <c r="BR123" s="11">
        <v>0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0</v>
      </c>
      <c r="BY123" s="11">
        <v>0</v>
      </c>
      <c r="BZ123" s="11">
        <v>0</v>
      </c>
      <c r="CA123" s="11">
        <v>0</v>
      </c>
      <c r="CB123" s="11">
        <v>0</v>
      </c>
      <c r="CC123" s="11">
        <f>SUM(CD123+CT123)</f>
        <v>0</v>
      </c>
      <c r="CD123" s="11">
        <f>SUM(CE123+CH123+CM123)</f>
        <v>0</v>
      </c>
      <c r="CE123" s="11">
        <f t="shared" si="103"/>
        <v>0</v>
      </c>
      <c r="CF123" s="11">
        <v>0</v>
      </c>
      <c r="CG123" s="11">
        <v>0</v>
      </c>
      <c r="CH123" s="11">
        <f>SUM(CI123:CL123)</f>
        <v>0</v>
      </c>
      <c r="CI123" s="11">
        <v>0</v>
      </c>
      <c r="CJ123" s="11">
        <v>0</v>
      </c>
      <c r="CK123" s="11">
        <v>0</v>
      </c>
      <c r="CL123" s="11">
        <v>0</v>
      </c>
      <c r="CM123" s="11">
        <f>SUM(CN123:CQ123)</f>
        <v>0</v>
      </c>
      <c r="CN123" s="11">
        <v>0</v>
      </c>
      <c r="CO123" s="11">
        <v>0</v>
      </c>
      <c r="CP123" s="11"/>
      <c r="CQ123" s="11">
        <v>0</v>
      </c>
      <c r="CR123" s="11">
        <v>0</v>
      </c>
      <c r="CS123" s="11">
        <v>0</v>
      </c>
      <c r="CT123" s="11">
        <v>0</v>
      </c>
      <c r="CU123" s="11">
        <f t="shared" si="104"/>
        <v>0</v>
      </c>
      <c r="CV123" s="11">
        <f t="shared" si="105"/>
        <v>0</v>
      </c>
      <c r="CW123" s="11">
        <v>0</v>
      </c>
      <c r="CX123" s="12">
        <v>0</v>
      </c>
    </row>
    <row r="124" spans="1:102" ht="15.75" x14ac:dyDescent="0.25">
      <c r="A124" s="18" t="s">
        <v>242</v>
      </c>
      <c r="B124" s="19" t="s">
        <v>1</v>
      </c>
      <c r="C124" s="19" t="s">
        <v>1</v>
      </c>
      <c r="D124" s="20" t="s">
        <v>243</v>
      </c>
      <c r="E124" s="21">
        <f>SUM(E125+E129+E133+E137+E139+E141)</f>
        <v>319667811</v>
      </c>
      <c r="F124" s="22">
        <f t="shared" ref="F124:BW124" si="293">SUM(F125+F129+F133+F137+F139+F141)</f>
        <v>314944404</v>
      </c>
      <c r="G124" s="22">
        <f t="shared" si="293"/>
        <v>274184527</v>
      </c>
      <c r="H124" s="22">
        <f t="shared" si="293"/>
        <v>188401599</v>
      </c>
      <c r="I124" s="22">
        <f t="shared" si="293"/>
        <v>44270618</v>
      </c>
      <c r="J124" s="22">
        <f t="shared" si="293"/>
        <v>22965741</v>
      </c>
      <c r="K124" s="22">
        <f t="shared" si="293"/>
        <v>402117</v>
      </c>
      <c r="L124" s="22">
        <f t="shared" si="293"/>
        <v>2421066</v>
      </c>
      <c r="M124" s="22">
        <f t="shared" si="293"/>
        <v>16577579</v>
      </c>
      <c r="N124" s="22">
        <f t="shared" si="293"/>
        <v>617832</v>
      </c>
      <c r="O124" s="22">
        <f t="shared" si="293"/>
        <v>1280452</v>
      </c>
      <c r="P124" s="22">
        <f t="shared" si="293"/>
        <v>1666695</v>
      </c>
      <c r="Q124" s="22">
        <f t="shared" si="293"/>
        <v>51967</v>
      </c>
      <c r="R124" s="22">
        <f t="shared" si="293"/>
        <v>37530</v>
      </c>
      <c r="S124" s="22">
        <f t="shared" si="293"/>
        <v>14437</v>
      </c>
      <c r="T124" s="22">
        <f t="shared" si="293"/>
        <v>0</v>
      </c>
      <c r="U124" s="22">
        <f t="shared" si="293"/>
        <v>919199</v>
      </c>
      <c r="V124" s="22">
        <f t="shared" si="293"/>
        <v>11985354</v>
      </c>
      <c r="W124" s="22">
        <f t="shared" si="293"/>
        <v>202014</v>
      </c>
      <c r="X124" s="22">
        <f t="shared" si="293"/>
        <v>7877114</v>
      </c>
      <c r="Y124" s="22">
        <f t="shared" si="293"/>
        <v>2134559</v>
      </c>
      <c r="Z124" s="22">
        <f t="shared" si="293"/>
        <v>1262697</v>
      </c>
      <c r="AA124" s="22">
        <f t="shared" si="293"/>
        <v>384759</v>
      </c>
      <c r="AB124" s="22">
        <f t="shared" si="293"/>
        <v>18288</v>
      </c>
      <c r="AC124" s="22">
        <f t="shared" si="293"/>
        <v>0</v>
      </c>
      <c r="AD124" s="22">
        <f t="shared" si="293"/>
        <v>105923</v>
      </c>
      <c r="AE124" s="22">
        <f t="shared" si="293"/>
        <v>0</v>
      </c>
      <c r="AF124" s="22">
        <f t="shared" si="293"/>
        <v>5590049</v>
      </c>
      <c r="AG124" s="22">
        <f t="shared" si="293"/>
        <v>0</v>
      </c>
      <c r="AH124" s="22">
        <f t="shared" si="293"/>
        <v>0</v>
      </c>
      <c r="AI124" s="22">
        <f t="shared" si="293"/>
        <v>39933</v>
      </c>
      <c r="AJ124" s="22">
        <f t="shared" si="293"/>
        <v>1198835</v>
      </c>
      <c r="AK124" s="22">
        <f t="shared" si="293"/>
        <v>234625</v>
      </c>
      <c r="AL124" s="22">
        <f t="shared" si="293"/>
        <v>911500</v>
      </c>
      <c r="AM124" s="22">
        <f t="shared" si="293"/>
        <v>0</v>
      </c>
      <c r="AN124" s="22">
        <f t="shared" si="293"/>
        <v>327825</v>
      </c>
      <c r="AO124" s="22">
        <f t="shared" si="293"/>
        <v>269811</v>
      </c>
      <c r="AP124" s="22">
        <f t="shared" si="293"/>
        <v>0</v>
      </c>
      <c r="AQ124" s="22">
        <f t="shared" si="293"/>
        <v>43977</v>
      </c>
      <c r="AR124" s="22">
        <f t="shared" ref="AR124" si="294">SUM(AR125+AR129+AR133+AR137+AR139+AR141)</f>
        <v>0</v>
      </c>
      <c r="AS124" s="22">
        <f t="shared" si="293"/>
        <v>0</v>
      </c>
      <c r="AT124" s="22">
        <f t="shared" si="293"/>
        <v>750205</v>
      </c>
      <c r="AU124" s="22">
        <f t="shared" si="293"/>
        <v>113689</v>
      </c>
      <c r="AV124" s="22"/>
      <c r="AW124" s="22"/>
      <c r="AX124" s="22">
        <f t="shared" si="293"/>
        <v>0</v>
      </c>
      <c r="AY124" s="22">
        <f t="shared" si="293"/>
        <v>0</v>
      </c>
      <c r="AZ124" s="22">
        <f t="shared" si="293"/>
        <v>0</v>
      </c>
      <c r="BA124" s="22">
        <f t="shared" si="293"/>
        <v>0</v>
      </c>
      <c r="BB124" s="22">
        <f t="shared" si="293"/>
        <v>1699649</v>
      </c>
      <c r="BC124" s="22">
        <f t="shared" si="293"/>
        <v>40759877</v>
      </c>
      <c r="BD124" s="22">
        <f t="shared" si="293"/>
        <v>0</v>
      </c>
      <c r="BE124" s="22">
        <f t="shared" si="293"/>
        <v>0</v>
      </c>
      <c r="BF124" s="22">
        <f t="shared" si="293"/>
        <v>0</v>
      </c>
      <c r="BG124" s="22">
        <f t="shared" si="293"/>
        <v>0</v>
      </c>
      <c r="BH124" s="22">
        <f t="shared" si="293"/>
        <v>0</v>
      </c>
      <c r="BI124" s="22">
        <f t="shared" si="293"/>
        <v>0</v>
      </c>
      <c r="BJ124" s="22">
        <f t="shared" si="293"/>
        <v>0</v>
      </c>
      <c r="BK124" s="22">
        <f t="shared" si="293"/>
        <v>0</v>
      </c>
      <c r="BL124" s="22">
        <f t="shared" si="293"/>
        <v>0</v>
      </c>
      <c r="BM124" s="22">
        <f t="shared" si="293"/>
        <v>0</v>
      </c>
      <c r="BN124" s="22">
        <f t="shared" si="293"/>
        <v>0</v>
      </c>
      <c r="BO124" s="22">
        <f t="shared" si="293"/>
        <v>0</v>
      </c>
      <c r="BP124" s="22">
        <f t="shared" ref="BP124" si="295">SUM(BP125+BP129+BP133+BP137+BP139+BP141)</f>
        <v>0</v>
      </c>
      <c r="BQ124" s="22">
        <f t="shared" si="293"/>
        <v>40759877</v>
      </c>
      <c r="BR124" s="22">
        <f t="shared" si="293"/>
        <v>0</v>
      </c>
      <c r="BS124" s="22">
        <f t="shared" si="293"/>
        <v>0</v>
      </c>
      <c r="BT124" s="22">
        <f t="shared" si="293"/>
        <v>15027641</v>
      </c>
      <c r="BU124" s="22">
        <f t="shared" si="293"/>
        <v>0</v>
      </c>
      <c r="BV124" s="22">
        <f t="shared" si="293"/>
        <v>0</v>
      </c>
      <c r="BW124" s="22">
        <f t="shared" si="293"/>
        <v>407888</v>
      </c>
      <c r="BX124" s="22">
        <f t="shared" ref="BX124:CX124" si="296">SUM(BX125+BX129+BX133+BX137+BX139+BX141)</f>
        <v>0</v>
      </c>
      <c r="BY124" s="22">
        <f t="shared" si="296"/>
        <v>0</v>
      </c>
      <c r="BZ124" s="22">
        <f t="shared" si="296"/>
        <v>0</v>
      </c>
      <c r="CA124" s="22">
        <f t="shared" si="296"/>
        <v>15203511</v>
      </c>
      <c r="CB124" s="22">
        <f t="shared" si="296"/>
        <v>10120837</v>
      </c>
      <c r="CC124" s="22">
        <f t="shared" si="296"/>
        <v>4723407</v>
      </c>
      <c r="CD124" s="22">
        <f t="shared" si="296"/>
        <v>4723407</v>
      </c>
      <c r="CE124" s="22">
        <f t="shared" si="296"/>
        <v>4059071</v>
      </c>
      <c r="CF124" s="22">
        <f t="shared" si="296"/>
        <v>0</v>
      </c>
      <c r="CG124" s="22">
        <f t="shared" si="296"/>
        <v>4059071</v>
      </c>
      <c r="CH124" s="22">
        <f t="shared" si="296"/>
        <v>0</v>
      </c>
      <c r="CI124" s="22">
        <f t="shared" si="296"/>
        <v>0</v>
      </c>
      <c r="CJ124" s="22">
        <f t="shared" si="296"/>
        <v>0</v>
      </c>
      <c r="CK124" s="22">
        <f t="shared" si="296"/>
        <v>0</v>
      </c>
      <c r="CL124" s="22">
        <f t="shared" si="296"/>
        <v>0</v>
      </c>
      <c r="CM124" s="22">
        <f t="shared" si="296"/>
        <v>664336</v>
      </c>
      <c r="CN124" s="22">
        <f t="shared" si="296"/>
        <v>664336</v>
      </c>
      <c r="CO124" s="22">
        <f t="shared" si="296"/>
        <v>0</v>
      </c>
      <c r="CP124" s="22"/>
      <c r="CQ124" s="22">
        <f t="shared" si="296"/>
        <v>0</v>
      </c>
      <c r="CR124" s="22">
        <f t="shared" si="296"/>
        <v>0</v>
      </c>
      <c r="CS124" s="22">
        <f t="shared" si="296"/>
        <v>0</v>
      </c>
      <c r="CT124" s="22">
        <f t="shared" si="296"/>
        <v>0</v>
      </c>
      <c r="CU124" s="22">
        <f t="shared" si="296"/>
        <v>0</v>
      </c>
      <c r="CV124" s="22">
        <f t="shared" si="296"/>
        <v>0</v>
      </c>
      <c r="CW124" s="22">
        <f t="shared" si="296"/>
        <v>0</v>
      </c>
      <c r="CX124" s="23">
        <f t="shared" si="296"/>
        <v>0</v>
      </c>
    </row>
    <row r="125" spans="1:102" ht="15.75" x14ac:dyDescent="0.25">
      <c r="A125" s="7"/>
      <c r="B125" s="8" t="s">
        <v>244</v>
      </c>
      <c r="C125" s="8" t="s">
        <v>1</v>
      </c>
      <c r="D125" s="9" t="s">
        <v>245</v>
      </c>
      <c r="E125" s="10">
        <f>SUM(E126:E128)</f>
        <v>65351876</v>
      </c>
      <c r="F125" s="11">
        <f t="shared" ref="F125:BW125" si="297">SUM(F126:F128)</f>
        <v>64843968</v>
      </c>
      <c r="G125" s="11">
        <f t="shared" si="297"/>
        <v>56777112</v>
      </c>
      <c r="H125" s="11">
        <f t="shared" si="297"/>
        <v>31180479</v>
      </c>
      <c r="I125" s="11">
        <f t="shared" si="297"/>
        <v>7266679</v>
      </c>
      <c r="J125" s="11">
        <f t="shared" si="297"/>
        <v>13054481</v>
      </c>
      <c r="K125" s="11">
        <f t="shared" si="297"/>
        <v>213326</v>
      </c>
      <c r="L125" s="11">
        <f t="shared" si="297"/>
        <v>2081065</v>
      </c>
      <c r="M125" s="11">
        <f t="shared" si="297"/>
        <v>9553383</v>
      </c>
      <c r="N125" s="11">
        <f t="shared" si="297"/>
        <v>300995</v>
      </c>
      <c r="O125" s="11">
        <f t="shared" si="297"/>
        <v>512456</v>
      </c>
      <c r="P125" s="11">
        <f t="shared" si="297"/>
        <v>393256</v>
      </c>
      <c r="Q125" s="11">
        <f t="shared" si="297"/>
        <v>14437</v>
      </c>
      <c r="R125" s="11">
        <f t="shared" si="297"/>
        <v>0</v>
      </c>
      <c r="S125" s="11">
        <f t="shared" si="297"/>
        <v>14437</v>
      </c>
      <c r="T125" s="11">
        <f t="shared" si="297"/>
        <v>0</v>
      </c>
      <c r="U125" s="11">
        <f t="shared" si="297"/>
        <v>120214</v>
      </c>
      <c r="V125" s="11">
        <f t="shared" si="297"/>
        <v>2889136</v>
      </c>
      <c r="W125" s="11">
        <f t="shared" si="297"/>
        <v>93451</v>
      </c>
      <c r="X125" s="11">
        <f t="shared" si="297"/>
        <v>1535559</v>
      </c>
      <c r="Y125" s="11">
        <f t="shared" si="297"/>
        <v>628594</v>
      </c>
      <c r="Z125" s="11">
        <f t="shared" si="297"/>
        <v>465707</v>
      </c>
      <c r="AA125" s="11">
        <f t="shared" si="297"/>
        <v>67151</v>
      </c>
      <c r="AB125" s="11">
        <f t="shared" si="297"/>
        <v>0</v>
      </c>
      <c r="AC125" s="11">
        <f t="shared" si="297"/>
        <v>0</v>
      </c>
      <c r="AD125" s="11">
        <f t="shared" si="297"/>
        <v>98674</v>
      </c>
      <c r="AE125" s="11">
        <f t="shared" si="297"/>
        <v>0</v>
      </c>
      <c r="AF125" s="11">
        <f t="shared" si="297"/>
        <v>2251686</v>
      </c>
      <c r="AG125" s="11">
        <f t="shared" si="297"/>
        <v>0</v>
      </c>
      <c r="AH125" s="11">
        <f t="shared" si="297"/>
        <v>0</v>
      </c>
      <c r="AI125" s="11">
        <f t="shared" si="297"/>
        <v>546</v>
      </c>
      <c r="AJ125" s="11">
        <f t="shared" si="297"/>
        <v>334811</v>
      </c>
      <c r="AK125" s="11">
        <f t="shared" si="297"/>
        <v>108201</v>
      </c>
      <c r="AL125" s="11">
        <f t="shared" si="297"/>
        <v>863081</v>
      </c>
      <c r="AM125" s="11">
        <f t="shared" si="297"/>
        <v>0</v>
      </c>
      <c r="AN125" s="11">
        <f t="shared" si="297"/>
        <v>263430</v>
      </c>
      <c r="AO125" s="11">
        <f t="shared" si="297"/>
        <v>10061</v>
      </c>
      <c r="AP125" s="11">
        <f t="shared" si="297"/>
        <v>0</v>
      </c>
      <c r="AQ125" s="11">
        <f t="shared" si="297"/>
        <v>43868</v>
      </c>
      <c r="AR125" s="11">
        <f t="shared" ref="AR125" si="298">SUM(AR126:AR128)</f>
        <v>0</v>
      </c>
      <c r="AS125" s="11">
        <f t="shared" si="297"/>
        <v>0</v>
      </c>
      <c r="AT125" s="11">
        <f t="shared" si="297"/>
        <v>587571</v>
      </c>
      <c r="AU125" s="11">
        <f t="shared" si="297"/>
        <v>0</v>
      </c>
      <c r="AV125" s="11"/>
      <c r="AW125" s="11"/>
      <c r="AX125" s="11">
        <f t="shared" si="297"/>
        <v>0</v>
      </c>
      <c r="AY125" s="11">
        <f t="shared" si="297"/>
        <v>0</v>
      </c>
      <c r="AZ125" s="11">
        <f t="shared" si="297"/>
        <v>0</v>
      </c>
      <c r="BA125" s="11">
        <f t="shared" si="297"/>
        <v>0</v>
      </c>
      <c r="BB125" s="11">
        <f t="shared" si="297"/>
        <v>40117</v>
      </c>
      <c r="BC125" s="11">
        <f t="shared" si="297"/>
        <v>8066856</v>
      </c>
      <c r="BD125" s="11">
        <f t="shared" si="297"/>
        <v>0</v>
      </c>
      <c r="BE125" s="11">
        <f t="shared" si="297"/>
        <v>0</v>
      </c>
      <c r="BF125" s="11">
        <f t="shared" si="297"/>
        <v>0</v>
      </c>
      <c r="BG125" s="11">
        <f t="shared" si="297"/>
        <v>0</v>
      </c>
      <c r="BH125" s="11">
        <f t="shared" si="297"/>
        <v>0</v>
      </c>
      <c r="BI125" s="11">
        <f t="shared" si="297"/>
        <v>0</v>
      </c>
      <c r="BJ125" s="11">
        <f t="shared" si="297"/>
        <v>0</v>
      </c>
      <c r="BK125" s="11">
        <f t="shared" si="297"/>
        <v>0</v>
      </c>
      <c r="BL125" s="11">
        <f t="shared" si="297"/>
        <v>0</v>
      </c>
      <c r="BM125" s="11">
        <f t="shared" si="297"/>
        <v>0</v>
      </c>
      <c r="BN125" s="11">
        <f t="shared" si="297"/>
        <v>0</v>
      </c>
      <c r="BO125" s="11">
        <f t="shared" si="297"/>
        <v>0</v>
      </c>
      <c r="BP125" s="11">
        <f t="shared" ref="BP125" si="299">SUM(BP126:BP128)</f>
        <v>0</v>
      </c>
      <c r="BQ125" s="11">
        <f t="shared" si="297"/>
        <v>8066856</v>
      </c>
      <c r="BR125" s="11">
        <f t="shared" si="297"/>
        <v>0</v>
      </c>
      <c r="BS125" s="11">
        <f t="shared" si="297"/>
        <v>0</v>
      </c>
      <c r="BT125" s="11">
        <f t="shared" si="297"/>
        <v>0</v>
      </c>
      <c r="BU125" s="11">
        <f t="shared" si="297"/>
        <v>0</v>
      </c>
      <c r="BV125" s="11">
        <f t="shared" si="297"/>
        <v>0</v>
      </c>
      <c r="BW125" s="11">
        <f t="shared" si="297"/>
        <v>374363</v>
      </c>
      <c r="BX125" s="11">
        <f t="shared" ref="BX125:CX125" si="300">SUM(BX126:BX128)</f>
        <v>0</v>
      </c>
      <c r="BY125" s="11">
        <f t="shared" si="300"/>
        <v>0</v>
      </c>
      <c r="BZ125" s="11">
        <f t="shared" si="300"/>
        <v>0</v>
      </c>
      <c r="CA125" s="11">
        <f t="shared" si="300"/>
        <v>0</v>
      </c>
      <c r="CB125" s="11">
        <f t="shared" si="300"/>
        <v>7692493</v>
      </c>
      <c r="CC125" s="11">
        <f t="shared" si="300"/>
        <v>507908</v>
      </c>
      <c r="CD125" s="11">
        <f t="shared" si="300"/>
        <v>507908</v>
      </c>
      <c r="CE125" s="11">
        <f t="shared" si="300"/>
        <v>447974</v>
      </c>
      <c r="CF125" s="11">
        <f t="shared" si="300"/>
        <v>0</v>
      </c>
      <c r="CG125" s="11">
        <f t="shared" si="300"/>
        <v>447974</v>
      </c>
      <c r="CH125" s="11">
        <f t="shared" si="300"/>
        <v>0</v>
      </c>
      <c r="CI125" s="11">
        <f t="shared" si="300"/>
        <v>0</v>
      </c>
      <c r="CJ125" s="11">
        <f t="shared" si="300"/>
        <v>0</v>
      </c>
      <c r="CK125" s="11">
        <f t="shared" si="300"/>
        <v>0</v>
      </c>
      <c r="CL125" s="11">
        <f t="shared" si="300"/>
        <v>0</v>
      </c>
      <c r="CM125" s="11">
        <f t="shared" si="300"/>
        <v>59934</v>
      </c>
      <c r="CN125" s="11">
        <f t="shared" si="300"/>
        <v>59934</v>
      </c>
      <c r="CO125" s="11">
        <f t="shared" si="300"/>
        <v>0</v>
      </c>
      <c r="CP125" s="11"/>
      <c r="CQ125" s="11">
        <f t="shared" si="300"/>
        <v>0</v>
      </c>
      <c r="CR125" s="11">
        <f t="shared" si="300"/>
        <v>0</v>
      </c>
      <c r="CS125" s="11">
        <f t="shared" si="300"/>
        <v>0</v>
      </c>
      <c r="CT125" s="11">
        <f t="shared" si="300"/>
        <v>0</v>
      </c>
      <c r="CU125" s="11">
        <f t="shared" si="300"/>
        <v>0</v>
      </c>
      <c r="CV125" s="11">
        <f t="shared" si="300"/>
        <v>0</v>
      </c>
      <c r="CW125" s="11">
        <f t="shared" si="300"/>
        <v>0</v>
      </c>
      <c r="CX125" s="12">
        <f t="shared" si="300"/>
        <v>0</v>
      </c>
    </row>
    <row r="126" spans="1:102" ht="15.75" x14ac:dyDescent="0.25">
      <c r="A126" s="13"/>
      <c r="B126" s="14" t="s">
        <v>1</v>
      </c>
      <c r="C126" s="14" t="s">
        <v>84</v>
      </c>
      <c r="D126" s="15" t="s">
        <v>246</v>
      </c>
      <c r="E126" s="10">
        <f>SUM(F126+CC126+CU126)</f>
        <v>21159106</v>
      </c>
      <c r="F126" s="11">
        <f>SUM(G126+BC126)</f>
        <v>21031161</v>
      </c>
      <c r="G126" s="11">
        <f>SUM(H126+I126+J126+Q126+T126+U126+V126+AF126+AE126)</f>
        <v>16773385</v>
      </c>
      <c r="H126" s="16">
        <f>7559762+403187</f>
        <v>7962949</v>
      </c>
      <c r="I126" s="16">
        <f>1771936+100797</f>
        <v>1872733</v>
      </c>
      <c r="J126" s="11">
        <f>SUM(K126:P126)</f>
        <v>5277368</v>
      </c>
      <c r="K126" s="16">
        <f>20874+30797</f>
        <v>51671</v>
      </c>
      <c r="L126" s="16">
        <v>695564</v>
      </c>
      <c r="M126" s="16">
        <f>3113386+695393</f>
        <v>3808779</v>
      </c>
      <c r="N126" s="16">
        <v>300995</v>
      </c>
      <c r="O126" s="16">
        <v>317378</v>
      </c>
      <c r="P126" s="16">
        <f>11860+91121</f>
        <v>102981</v>
      </c>
      <c r="Q126" s="11">
        <f t="shared" si="99"/>
        <v>0</v>
      </c>
      <c r="R126" s="11">
        <v>0</v>
      </c>
      <c r="S126" s="11">
        <v>0</v>
      </c>
      <c r="T126" s="11">
        <v>0</v>
      </c>
      <c r="U126" s="16">
        <v>30382</v>
      </c>
      <c r="V126" s="11">
        <f t="shared" ref="V126:V128" si="301">SUM(W126:AD126)</f>
        <v>1076163</v>
      </c>
      <c r="W126" s="16">
        <v>6214</v>
      </c>
      <c r="X126" s="16">
        <v>620247</v>
      </c>
      <c r="Y126" s="16">
        <v>275213</v>
      </c>
      <c r="Z126" s="16">
        <f>21810+97211</f>
        <v>119021</v>
      </c>
      <c r="AA126" s="16">
        <v>14160</v>
      </c>
      <c r="AB126" s="16"/>
      <c r="AC126" s="16"/>
      <c r="AD126" s="16">
        <f>39938+1370</f>
        <v>41308</v>
      </c>
      <c r="AE126" s="11"/>
      <c r="AF126" s="11">
        <f>SUM(AG126:BB126)</f>
        <v>553790</v>
      </c>
      <c r="AG126" s="11">
        <v>0</v>
      </c>
      <c r="AH126" s="11">
        <v>0</v>
      </c>
      <c r="AI126" s="16"/>
      <c r="AJ126" s="16">
        <v>141460</v>
      </c>
      <c r="AK126" s="16">
        <v>5776</v>
      </c>
      <c r="AL126" s="16">
        <v>11856</v>
      </c>
      <c r="AM126" s="16"/>
      <c r="AN126" s="16">
        <v>75598</v>
      </c>
      <c r="AO126" s="16">
        <v>5071</v>
      </c>
      <c r="AP126" s="16"/>
      <c r="AQ126" s="16">
        <v>1976</v>
      </c>
      <c r="AR126" s="16"/>
      <c r="AS126" s="16"/>
      <c r="AT126" s="16">
        <v>306117</v>
      </c>
      <c r="AU126" s="16"/>
      <c r="AV126" s="11"/>
      <c r="AW126" s="11"/>
      <c r="AX126" s="11">
        <v>0</v>
      </c>
      <c r="AY126" s="11">
        <v>0</v>
      </c>
      <c r="AZ126" s="11">
        <v>0</v>
      </c>
      <c r="BA126" s="11"/>
      <c r="BB126" s="16">
        <v>5936</v>
      </c>
      <c r="BC126" s="11">
        <f>SUM(BD126+BH126+BL126+BN126+BQ126)</f>
        <v>4257776</v>
      </c>
      <c r="BD126" s="11">
        <f>SUM(BE126:BG126)</f>
        <v>0</v>
      </c>
      <c r="BE126" s="11">
        <v>0</v>
      </c>
      <c r="BF126" s="11">
        <v>0</v>
      </c>
      <c r="BG126" s="11">
        <v>0</v>
      </c>
      <c r="BH126" s="11">
        <f t="shared" si="100"/>
        <v>0</v>
      </c>
      <c r="BI126" s="11">
        <v>0</v>
      </c>
      <c r="BJ126" s="11">
        <v>0</v>
      </c>
      <c r="BK126" s="11">
        <v>0</v>
      </c>
      <c r="BL126" s="11">
        <v>0</v>
      </c>
      <c r="BM126" s="11">
        <v>0</v>
      </c>
      <c r="BN126" s="11">
        <f t="shared" si="101"/>
        <v>0</v>
      </c>
      <c r="BO126" s="11">
        <v>0</v>
      </c>
      <c r="BP126" s="11">
        <v>0</v>
      </c>
      <c r="BQ126" s="11">
        <f t="shared" si="102"/>
        <v>4257776</v>
      </c>
      <c r="BR126" s="11">
        <v>0</v>
      </c>
      <c r="BS126" s="11">
        <v>0</v>
      </c>
      <c r="BT126" s="11">
        <v>0</v>
      </c>
      <c r="BU126" s="11">
        <v>0</v>
      </c>
      <c r="BV126" s="11">
        <v>0</v>
      </c>
      <c r="BW126" s="16">
        <v>206738</v>
      </c>
      <c r="BX126" s="11">
        <v>0</v>
      </c>
      <c r="BY126" s="11">
        <v>0</v>
      </c>
      <c r="BZ126" s="11">
        <v>0</v>
      </c>
      <c r="CA126" s="11">
        <v>0</v>
      </c>
      <c r="CB126" s="16">
        <v>4051038</v>
      </c>
      <c r="CC126" s="11">
        <f>SUM(CD126+CT126)</f>
        <v>127945</v>
      </c>
      <c r="CD126" s="11">
        <f>SUM(CE126+CH126+CM126)</f>
        <v>127945</v>
      </c>
      <c r="CE126" s="11">
        <f t="shared" si="103"/>
        <v>127945</v>
      </c>
      <c r="CF126" s="11">
        <v>0</v>
      </c>
      <c r="CG126" s="16">
        <v>127945</v>
      </c>
      <c r="CH126" s="11">
        <f>SUM(CI126:CL126)</f>
        <v>0</v>
      </c>
      <c r="CI126" s="11">
        <v>0</v>
      </c>
      <c r="CJ126" s="11">
        <v>0</v>
      </c>
      <c r="CK126" s="11">
        <v>0</v>
      </c>
      <c r="CL126" s="11">
        <v>0</v>
      </c>
      <c r="CM126" s="11">
        <f>SUM(CN126:CQ126)</f>
        <v>0</v>
      </c>
      <c r="CN126" s="11">
        <v>0</v>
      </c>
      <c r="CO126" s="11">
        <v>0</v>
      </c>
      <c r="CP126" s="11"/>
      <c r="CQ126" s="11">
        <v>0</v>
      </c>
      <c r="CR126" s="11"/>
      <c r="CS126" s="11"/>
      <c r="CT126" s="11">
        <v>0</v>
      </c>
      <c r="CU126" s="11">
        <f t="shared" si="104"/>
        <v>0</v>
      </c>
      <c r="CV126" s="11">
        <f t="shared" si="105"/>
        <v>0</v>
      </c>
      <c r="CW126" s="11">
        <v>0</v>
      </c>
      <c r="CX126" s="12">
        <v>0</v>
      </c>
    </row>
    <row r="127" spans="1:102" ht="15.75" x14ac:dyDescent="0.25">
      <c r="A127" s="13"/>
      <c r="B127" s="14" t="s">
        <v>1</v>
      </c>
      <c r="C127" s="14" t="s">
        <v>84</v>
      </c>
      <c r="D127" s="15" t="s">
        <v>247</v>
      </c>
      <c r="E127" s="10">
        <f>SUM(F127+CC127+CU127)</f>
        <v>35164689</v>
      </c>
      <c r="F127" s="11">
        <f>SUM(G127+BC127)</f>
        <v>34786858</v>
      </c>
      <c r="G127" s="11">
        <f>SUM(H127+I127+J127+Q127+T127+U127+V127+AF127+AE127)</f>
        <v>30977778</v>
      </c>
      <c r="H127" s="16">
        <f>16025635+854701</f>
        <v>16880336</v>
      </c>
      <c r="I127" s="16">
        <f>3704351+213675</f>
        <v>3918026</v>
      </c>
      <c r="J127" s="11">
        <f>SUM(K127:P127)</f>
        <v>7329980</v>
      </c>
      <c r="K127" s="16">
        <f>97254+50318</f>
        <v>147572</v>
      </c>
      <c r="L127" s="16">
        <v>1384307</v>
      </c>
      <c r="M127" s="16">
        <f>4526280+868005</f>
        <v>5394285</v>
      </c>
      <c r="N127" s="16">
        <v>0</v>
      </c>
      <c r="O127" s="16">
        <v>195078</v>
      </c>
      <c r="P127" s="16">
        <f>48929+159809</f>
        <v>208738</v>
      </c>
      <c r="Q127" s="11">
        <f t="shared" si="99"/>
        <v>0</v>
      </c>
      <c r="R127" s="11">
        <v>0</v>
      </c>
      <c r="S127" s="11">
        <v>0</v>
      </c>
      <c r="T127" s="11">
        <v>0</v>
      </c>
      <c r="U127" s="16">
        <v>42074</v>
      </c>
      <c r="V127" s="11">
        <f t="shared" si="301"/>
        <v>1109978</v>
      </c>
      <c r="W127" s="16">
        <v>67769</v>
      </c>
      <c r="X127" s="16">
        <v>479690</v>
      </c>
      <c r="Y127" s="16">
        <v>211569</v>
      </c>
      <c r="Z127" s="16">
        <v>269722</v>
      </c>
      <c r="AA127" s="16">
        <v>23862</v>
      </c>
      <c r="AB127" s="16"/>
      <c r="AC127" s="16"/>
      <c r="AD127" s="16">
        <f>48611+8755</f>
        <v>57366</v>
      </c>
      <c r="AE127" s="11"/>
      <c r="AF127" s="11">
        <f>SUM(AG127:BB127)</f>
        <v>1697384</v>
      </c>
      <c r="AG127" s="11">
        <v>0</v>
      </c>
      <c r="AH127" s="11"/>
      <c r="AI127" s="16">
        <v>172</v>
      </c>
      <c r="AJ127" s="16">
        <v>193351</v>
      </c>
      <c r="AK127" s="16">
        <v>102425</v>
      </c>
      <c r="AL127" s="16">
        <v>851225</v>
      </c>
      <c r="AM127" s="16"/>
      <c r="AN127" s="16">
        <v>187832</v>
      </c>
      <c r="AO127" s="16">
        <v>4990</v>
      </c>
      <c r="AP127" s="16"/>
      <c r="AQ127" s="16">
        <v>41892</v>
      </c>
      <c r="AR127" s="16"/>
      <c r="AS127" s="16"/>
      <c r="AT127" s="16">
        <v>281454</v>
      </c>
      <c r="AU127" s="16"/>
      <c r="AV127" s="11"/>
      <c r="AW127" s="11"/>
      <c r="AX127" s="11">
        <v>0</v>
      </c>
      <c r="AY127" s="11">
        <v>0</v>
      </c>
      <c r="AZ127" s="11">
        <v>0</v>
      </c>
      <c r="BA127" s="11"/>
      <c r="BB127" s="16">
        <v>34043</v>
      </c>
      <c r="BC127" s="11">
        <f>SUM(BD127+BH127+BL127+BN127+BQ127)</f>
        <v>3809080</v>
      </c>
      <c r="BD127" s="11">
        <f>SUM(BE127:BG127)</f>
        <v>0</v>
      </c>
      <c r="BE127" s="11">
        <v>0</v>
      </c>
      <c r="BF127" s="11">
        <v>0</v>
      </c>
      <c r="BG127" s="11">
        <v>0</v>
      </c>
      <c r="BH127" s="11">
        <f t="shared" si="100"/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v>0</v>
      </c>
      <c r="BN127" s="11">
        <f t="shared" si="101"/>
        <v>0</v>
      </c>
      <c r="BO127" s="11">
        <v>0</v>
      </c>
      <c r="BP127" s="11">
        <v>0</v>
      </c>
      <c r="BQ127" s="11">
        <f t="shared" si="102"/>
        <v>3809080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6">
        <v>167625</v>
      </c>
      <c r="BX127" s="11">
        <v>0</v>
      </c>
      <c r="BY127" s="11">
        <v>0</v>
      </c>
      <c r="BZ127" s="11">
        <v>0</v>
      </c>
      <c r="CA127" s="11">
        <v>0</v>
      </c>
      <c r="CB127" s="16">
        <f>3863768-222313</f>
        <v>3641455</v>
      </c>
      <c r="CC127" s="11">
        <f>SUM(CD127+CT127)</f>
        <v>377831</v>
      </c>
      <c r="CD127" s="11">
        <f>SUM(CE127+CH127+CM127)</f>
        <v>377831</v>
      </c>
      <c r="CE127" s="11">
        <f t="shared" si="103"/>
        <v>317897</v>
      </c>
      <c r="CF127" s="11">
        <v>0</v>
      </c>
      <c r="CG127" s="16">
        <v>317897</v>
      </c>
      <c r="CH127" s="11">
        <f>SUM(CI127:CL127)</f>
        <v>0</v>
      </c>
      <c r="CI127" s="11">
        <v>0</v>
      </c>
      <c r="CJ127" s="11">
        <v>0</v>
      </c>
      <c r="CK127" s="11">
        <v>0</v>
      </c>
      <c r="CL127" s="11">
        <v>0</v>
      </c>
      <c r="CM127" s="11">
        <f>SUM(CN127:CQ127)</f>
        <v>59934</v>
      </c>
      <c r="CN127" s="11">
        <v>59934</v>
      </c>
      <c r="CO127" s="11">
        <v>0</v>
      </c>
      <c r="CP127" s="11"/>
      <c r="CQ127" s="11">
        <v>0</v>
      </c>
      <c r="CR127" s="11"/>
      <c r="CS127" s="11"/>
      <c r="CT127" s="11">
        <v>0</v>
      </c>
      <c r="CU127" s="11">
        <f t="shared" si="104"/>
        <v>0</v>
      </c>
      <c r="CV127" s="11">
        <f t="shared" si="105"/>
        <v>0</v>
      </c>
      <c r="CW127" s="11">
        <v>0</v>
      </c>
      <c r="CX127" s="12">
        <v>0</v>
      </c>
    </row>
    <row r="128" spans="1:102" ht="15.75" x14ac:dyDescent="0.25">
      <c r="A128" s="13"/>
      <c r="B128" s="14" t="s">
        <v>1</v>
      </c>
      <c r="C128" s="14" t="s">
        <v>88</v>
      </c>
      <c r="D128" s="15" t="s">
        <v>248</v>
      </c>
      <c r="E128" s="10">
        <f>SUM(F128+CC128+CU128)</f>
        <v>9028081</v>
      </c>
      <c r="F128" s="11">
        <f>SUM(G128+BC128)</f>
        <v>9025949</v>
      </c>
      <c r="G128" s="11">
        <f>SUM(H128+I128+J128+Q128+T128+U128+V128+AF128+AE128)</f>
        <v>9025949</v>
      </c>
      <c r="H128" s="16">
        <f>6016323+320871</f>
        <v>6337194</v>
      </c>
      <c r="I128" s="16">
        <f>1395702+80218</f>
        <v>1475920</v>
      </c>
      <c r="J128" s="11">
        <f>SUM(K128:P128)</f>
        <v>447133</v>
      </c>
      <c r="K128" s="16">
        <f>7843+6240</f>
        <v>14083</v>
      </c>
      <c r="L128" s="16">
        <v>1194</v>
      </c>
      <c r="M128" s="16">
        <v>350319</v>
      </c>
      <c r="N128" s="16">
        <v>0</v>
      </c>
      <c r="O128" s="16">
        <v>0</v>
      </c>
      <c r="P128" s="16">
        <f>15710+65827</f>
        <v>81537</v>
      </c>
      <c r="Q128" s="11">
        <f t="shared" si="99"/>
        <v>14437</v>
      </c>
      <c r="R128" s="11">
        <v>0</v>
      </c>
      <c r="S128" s="16">
        <v>14437</v>
      </c>
      <c r="T128" s="11">
        <v>0</v>
      </c>
      <c r="U128" s="16">
        <v>47758</v>
      </c>
      <c r="V128" s="11">
        <f t="shared" si="301"/>
        <v>702995</v>
      </c>
      <c r="W128" s="16">
        <v>19468</v>
      </c>
      <c r="X128" s="16">
        <f>384680+50942</f>
        <v>435622</v>
      </c>
      <c r="Y128" s="16">
        <v>141812</v>
      </c>
      <c r="Z128" s="16">
        <v>76964</v>
      </c>
      <c r="AA128" s="16">
        <v>29129</v>
      </c>
      <c r="AB128" s="16"/>
      <c r="AC128" s="16"/>
      <c r="AD128" s="16"/>
      <c r="AE128" s="11">
        <v>0</v>
      </c>
      <c r="AF128" s="11">
        <f>SUM(AG128:BB128)</f>
        <v>512</v>
      </c>
      <c r="AG128" s="11">
        <v>0</v>
      </c>
      <c r="AH128" s="11"/>
      <c r="AI128" s="16">
        <v>374</v>
      </c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1"/>
      <c r="AW128" s="11"/>
      <c r="AX128" s="11">
        <v>0</v>
      </c>
      <c r="AY128" s="11">
        <v>0</v>
      </c>
      <c r="AZ128" s="11">
        <v>0</v>
      </c>
      <c r="BA128" s="11">
        <v>0</v>
      </c>
      <c r="BB128" s="16">
        <v>138</v>
      </c>
      <c r="BC128" s="11">
        <f>SUM(BD128+BH128+BL128+BN128+BQ128)</f>
        <v>0</v>
      </c>
      <c r="BD128" s="11">
        <f>SUM(BE128:BG128)</f>
        <v>0</v>
      </c>
      <c r="BE128" s="11">
        <v>0</v>
      </c>
      <c r="BF128" s="11">
        <v>0</v>
      </c>
      <c r="BG128" s="11">
        <v>0</v>
      </c>
      <c r="BH128" s="11">
        <f t="shared" si="100"/>
        <v>0</v>
      </c>
      <c r="BI128" s="11">
        <v>0</v>
      </c>
      <c r="BJ128" s="11">
        <v>0</v>
      </c>
      <c r="BK128" s="11">
        <v>0</v>
      </c>
      <c r="BL128" s="11">
        <v>0</v>
      </c>
      <c r="BM128" s="11">
        <v>0</v>
      </c>
      <c r="BN128" s="11">
        <f t="shared" si="101"/>
        <v>0</v>
      </c>
      <c r="BO128" s="11">
        <v>0</v>
      </c>
      <c r="BP128" s="11">
        <v>0</v>
      </c>
      <c r="BQ128" s="11">
        <f t="shared" si="102"/>
        <v>0</v>
      </c>
      <c r="BR128" s="11">
        <v>0</v>
      </c>
      <c r="BS128" s="11">
        <v>0</v>
      </c>
      <c r="BT128" s="11">
        <v>0</v>
      </c>
      <c r="BU128" s="11">
        <v>0</v>
      </c>
      <c r="BV128" s="11">
        <v>0</v>
      </c>
      <c r="BW128" s="11">
        <v>0</v>
      </c>
      <c r="BX128" s="11">
        <v>0</v>
      </c>
      <c r="BY128" s="11">
        <v>0</v>
      </c>
      <c r="BZ128" s="11">
        <v>0</v>
      </c>
      <c r="CA128" s="11">
        <v>0</v>
      </c>
      <c r="CB128" s="11">
        <v>0</v>
      </c>
      <c r="CC128" s="11">
        <f>SUM(CD128+CT128)</f>
        <v>2132</v>
      </c>
      <c r="CD128" s="11">
        <f>SUM(CE128+CH128+CM128)</f>
        <v>2132</v>
      </c>
      <c r="CE128" s="11">
        <f t="shared" si="103"/>
        <v>2132</v>
      </c>
      <c r="CF128" s="11">
        <v>0</v>
      </c>
      <c r="CG128" s="16">
        <v>2132</v>
      </c>
      <c r="CH128" s="11">
        <f>SUM(CI128:CL128)</f>
        <v>0</v>
      </c>
      <c r="CI128" s="11">
        <v>0</v>
      </c>
      <c r="CJ128" s="11">
        <v>0</v>
      </c>
      <c r="CK128" s="11">
        <v>0</v>
      </c>
      <c r="CL128" s="11">
        <v>0</v>
      </c>
      <c r="CM128" s="11">
        <f>SUM(CN128:CQ128)</f>
        <v>0</v>
      </c>
      <c r="CN128" s="11">
        <v>0</v>
      </c>
      <c r="CO128" s="11">
        <v>0</v>
      </c>
      <c r="CP128" s="11"/>
      <c r="CQ128" s="11">
        <v>0</v>
      </c>
      <c r="CR128" s="11">
        <v>0</v>
      </c>
      <c r="CS128" s="11">
        <v>0</v>
      </c>
      <c r="CT128" s="11">
        <v>0</v>
      </c>
      <c r="CU128" s="11">
        <f t="shared" si="104"/>
        <v>0</v>
      </c>
      <c r="CV128" s="11">
        <f t="shared" si="105"/>
        <v>0</v>
      </c>
      <c r="CW128" s="11">
        <v>0</v>
      </c>
      <c r="CX128" s="12">
        <v>0</v>
      </c>
    </row>
    <row r="129" spans="1:102" ht="15.75" x14ac:dyDescent="0.25">
      <c r="A129" s="7"/>
      <c r="B129" s="8" t="s">
        <v>249</v>
      </c>
      <c r="C129" s="8" t="s">
        <v>1</v>
      </c>
      <c r="D129" s="9" t="s">
        <v>250</v>
      </c>
      <c r="E129" s="10">
        <f>SUM(E130:E132)</f>
        <v>116787384</v>
      </c>
      <c r="F129" s="11">
        <f t="shared" ref="F129:BW129" si="302">SUM(F130:F132)</f>
        <v>113004352</v>
      </c>
      <c r="G129" s="11">
        <f t="shared" si="302"/>
        <v>95593849</v>
      </c>
      <c r="H129" s="11">
        <f t="shared" si="302"/>
        <v>65062147</v>
      </c>
      <c r="I129" s="11">
        <f t="shared" si="302"/>
        <v>15300289</v>
      </c>
      <c r="J129" s="11">
        <f t="shared" si="302"/>
        <v>6967481</v>
      </c>
      <c r="K129" s="11">
        <f t="shared" si="302"/>
        <v>144745</v>
      </c>
      <c r="L129" s="11">
        <f t="shared" si="302"/>
        <v>101376</v>
      </c>
      <c r="M129" s="11">
        <f t="shared" si="302"/>
        <v>5288673</v>
      </c>
      <c r="N129" s="11">
        <f t="shared" si="302"/>
        <v>0</v>
      </c>
      <c r="O129" s="11">
        <f t="shared" si="302"/>
        <v>551811</v>
      </c>
      <c r="P129" s="11">
        <f t="shared" si="302"/>
        <v>880876</v>
      </c>
      <c r="Q129" s="11">
        <f t="shared" si="302"/>
        <v>36634</v>
      </c>
      <c r="R129" s="11">
        <f t="shared" si="302"/>
        <v>36634</v>
      </c>
      <c r="S129" s="11">
        <f t="shared" si="302"/>
        <v>0</v>
      </c>
      <c r="T129" s="11">
        <f t="shared" si="302"/>
        <v>0</v>
      </c>
      <c r="U129" s="11">
        <f t="shared" si="302"/>
        <v>377183</v>
      </c>
      <c r="V129" s="11">
        <f t="shared" si="302"/>
        <v>5844253</v>
      </c>
      <c r="W129" s="11">
        <f t="shared" si="302"/>
        <v>73653</v>
      </c>
      <c r="X129" s="11">
        <f t="shared" si="302"/>
        <v>4319553</v>
      </c>
      <c r="Y129" s="11">
        <f t="shared" si="302"/>
        <v>846910</v>
      </c>
      <c r="Z129" s="11">
        <f t="shared" si="302"/>
        <v>476443</v>
      </c>
      <c r="AA129" s="11">
        <f t="shared" si="302"/>
        <v>127180</v>
      </c>
      <c r="AB129" s="11">
        <f t="shared" si="302"/>
        <v>0</v>
      </c>
      <c r="AC129" s="11">
        <f t="shared" si="302"/>
        <v>0</v>
      </c>
      <c r="AD129" s="11">
        <f t="shared" si="302"/>
        <v>514</v>
      </c>
      <c r="AE129" s="11">
        <f t="shared" si="302"/>
        <v>0</v>
      </c>
      <c r="AF129" s="11">
        <f t="shared" si="302"/>
        <v>2005862</v>
      </c>
      <c r="AG129" s="11">
        <f t="shared" si="302"/>
        <v>0</v>
      </c>
      <c r="AH129" s="11">
        <f t="shared" si="302"/>
        <v>0</v>
      </c>
      <c r="AI129" s="11">
        <f t="shared" si="302"/>
        <v>38727</v>
      </c>
      <c r="AJ129" s="11">
        <f t="shared" si="302"/>
        <v>779970</v>
      </c>
      <c r="AK129" s="11">
        <f t="shared" si="302"/>
        <v>22851</v>
      </c>
      <c r="AL129" s="11">
        <f t="shared" si="302"/>
        <v>44664</v>
      </c>
      <c r="AM129" s="11">
        <f t="shared" si="302"/>
        <v>0</v>
      </c>
      <c r="AN129" s="11">
        <f t="shared" si="302"/>
        <v>26459</v>
      </c>
      <c r="AO129" s="11">
        <f t="shared" si="302"/>
        <v>17497</v>
      </c>
      <c r="AP129" s="11">
        <f t="shared" si="302"/>
        <v>0</v>
      </c>
      <c r="AQ129" s="11">
        <f t="shared" si="302"/>
        <v>0</v>
      </c>
      <c r="AR129" s="11">
        <f t="shared" ref="AR129" si="303">SUM(AR130:AR132)</f>
        <v>0</v>
      </c>
      <c r="AS129" s="11">
        <f t="shared" si="302"/>
        <v>0</v>
      </c>
      <c r="AT129" s="11">
        <f t="shared" si="302"/>
        <v>22281</v>
      </c>
      <c r="AU129" s="11">
        <f t="shared" si="302"/>
        <v>83800</v>
      </c>
      <c r="AV129" s="11"/>
      <c r="AW129" s="11"/>
      <c r="AX129" s="11">
        <f t="shared" si="302"/>
        <v>0</v>
      </c>
      <c r="AY129" s="11">
        <f t="shared" si="302"/>
        <v>0</v>
      </c>
      <c r="AZ129" s="11">
        <f t="shared" si="302"/>
        <v>0</v>
      </c>
      <c r="BA129" s="11">
        <f t="shared" si="302"/>
        <v>0</v>
      </c>
      <c r="BB129" s="11">
        <f t="shared" si="302"/>
        <v>969613</v>
      </c>
      <c r="BC129" s="11">
        <f t="shared" si="302"/>
        <v>17410503</v>
      </c>
      <c r="BD129" s="11">
        <f t="shared" si="302"/>
        <v>0</v>
      </c>
      <c r="BE129" s="11">
        <f t="shared" si="302"/>
        <v>0</v>
      </c>
      <c r="BF129" s="11">
        <f t="shared" si="302"/>
        <v>0</v>
      </c>
      <c r="BG129" s="11">
        <f t="shared" si="302"/>
        <v>0</v>
      </c>
      <c r="BH129" s="11">
        <f t="shared" si="302"/>
        <v>0</v>
      </c>
      <c r="BI129" s="11">
        <f t="shared" si="302"/>
        <v>0</v>
      </c>
      <c r="BJ129" s="11">
        <f t="shared" si="302"/>
        <v>0</v>
      </c>
      <c r="BK129" s="11">
        <f t="shared" si="302"/>
        <v>0</v>
      </c>
      <c r="BL129" s="11">
        <f t="shared" si="302"/>
        <v>0</v>
      </c>
      <c r="BM129" s="11">
        <f t="shared" si="302"/>
        <v>0</v>
      </c>
      <c r="BN129" s="11">
        <f t="shared" si="302"/>
        <v>0</v>
      </c>
      <c r="BO129" s="11">
        <f t="shared" si="302"/>
        <v>0</v>
      </c>
      <c r="BP129" s="11">
        <f t="shared" ref="BP129" si="304">SUM(BP130:BP132)</f>
        <v>0</v>
      </c>
      <c r="BQ129" s="11">
        <f t="shared" si="302"/>
        <v>17410503</v>
      </c>
      <c r="BR129" s="11">
        <f t="shared" si="302"/>
        <v>0</v>
      </c>
      <c r="BS129" s="11">
        <f t="shared" si="302"/>
        <v>0</v>
      </c>
      <c r="BT129" s="11">
        <f t="shared" si="302"/>
        <v>6620638</v>
      </c>
      <c r="BU129" s="11">
        <f t="shared" si="302"/>
        <v>0</v>
      </c>
      <c r="BV129" s="11">
        <f t="shared" si="302"/>
        <v>0</v>
      </c>
      <c r="BW129" s="11">
        <f t="shared" si="302"/>
        <v>0</v>
      </c>
      <c r="BX129" s="11">
        <f t="shared" ref="BX129:CX129" si="305">SUM(BX130:BX132)</f>
        <v>0</v>
      </c>
      <c r="BY129" s="11">
        <f t="shared" si="305"/>
        <v>0</v>
      </c>
      <c r="BZ129" s="11">
        <f t="shared" si="305"/>
        <v>0</v>
      </c>
      <c r="CA129" s="11">
        <f t="shared" si="305"/>
        <v>10720316</v>
      </c>
      <c r="CB129" s="11">
        <f t="shared" si="305"/>
        <v>69549</v>
      </c>
      <c r="CC129" s="11">
        <f t="shared" si="305"/>
        <v>3783032</v>
      </c>
      <c r="CD129" s="11">
        <f t="shared" si="305"/>
        <v>3783032</v>
      </c>
      <c r="CE129" s="11">
        <f t="shared" si="305"/>
        <v>3210661</v>
      </c>
      <c r="CF129" s="11">
        <f t="shared" si="305"/>
        <v>0</v>
      </c>
      <c r="CG129" s="11">
        <f t="shared" si="305"/>
        <v>3210661</v>
      </c>
      <c r="CH129" s="11">
        <f t="shared" si="305"/>
        <v>0</v>
      </c>
      <c r="CI129" s="11">
        <f t="shared" si="305"/>
        <v>0</v>
      </c>
      <c r="CJ129" s="11">
        <f t="shared" si="305"/>
        <v>0</v>
      </c>
      <c r="CK129" s="11">
        <f t="shared" si="305"/>
        <v>0</v>
      </c>
      <c r="CL129" s="11">
        <f t="shared" si="305"/>
        <v>0</v>
      </c>
      <c r="CM129" s="11">
        <f t="shared" si="305"/>
        <v>572371</v>
      </c>
      <c r="CN129" s="11">
        <f t="shared" si="305"/>
        <v>572371</v>
      </c>
      <c r="CO129" s="11">
        <f t="shared" si="305"/>
        <v>0</v>
      </c>
      <c r="CP129" s="11"/>
      <c r="CQ129" s="11">
        <f t="shared" si="305"/>
        <v>0</v>
      </c>
      <c r="CR129" s="11">
        <f t="shared" si="305"/>
        <v>0</v>
      </c>
      <c r="CS129" s="11">
        <f t="shared" si="305"/>
        <v>0</v>
      </c>
      <c r="CT129" s="11">
        <f t="shared" si="305"/>
        <v>0</v>
      </c>
      <c r="CU129" s="11">
        <f t="shared" si="305"/>
        <v>0</v>
      </c>
      <c r="CV129" s="11">
        <f t="shared" si="305"/>
        <v>0</v>
      </c>
      <c r="CW129" s="11">
        <f t="shared" si="305"/>
        <v>0</v>
      </c>
      <c r="CX129" s="12">
        <f t="shared" si="305"/>
        <v>0</v>
      </c>
    </row>
    <row r="130" spans="1:102" ht="31.5" x14ac:dyDescent="0.25">
      <c r="A130" s="13"/>
      <c r="B130" s="14" t="s">
        <v>1</v>
      </c>
      <c r="C130" s="14" t="s">
        <v>86</v>
      </c>
      <c r="D130" s="15" t="s">
        <v>251</v>
      </c>
      <c r="E130" s="10">
        <f>SUM(F130+CC130+CU130)</f>
        <v>14744509</v>
      </c>
      <c r="F130" s="11">
        <f>SUM(G130+BC130)</f>
        <v>14671801</v>
      </c>
      <c r="G130" s="11">
        <f>SUM(H130+I130+J130+Q130+T130+U130+V130+AF130+AE130)</f>
        <v>12220036</v>
      </c>
      <c r="H130" s="16">
        <f>8757688+467077-814042</f>
        <v>8410723</v>
      </c>
      <c r="I130" s="16">
        <f>2026528+116769-100000</f>
        <v>2043297</v>
      </c>
      <c r="J130" s="11">
        <f>SUM(K130:P130)</f>
        <v>798013</v>
      </c>
      <c r="K130" s="16">
        <f>0+3004</f>
        <v>3004</v>
      </c>
      <c r="L130" s="16"/>
      <c r="M130" s="16">
        <f>256678+355137</f>
        <v>611815</v>
      </c>
      <c r="N130" s="16"/>
      <c r="O130" s="16">
        <v>38048</v>
      </c>
      <c r="P130" s="16">
        <f>0+145146</f>
        <v>145146</v>
      </c>
      <c r="Q130" s="11">
        <f t="shared" si="99"/>
        <v>0</v>
      </c>
      <c r="R130" s="16"/>
      <c r="S130" s="11">
        <v>0</v>
      </c>
      <c r="T130" s="11">
        <v>0</v>
      </c>
      <c r="U130" s="16">
        <v>51011</v>
      </c>
      <c r="V130" s="11">
        <f t="shared" ref="V130:V132" si="306">SUM(W130:AD130)</f>
        <v>561864</v>
      </c>
      <c r="W130" s="16">
        <f>8545+4134</f>
        <v>12679</v>
      </c>
      <c r="X130" s="16">
        <v>361149</v>
      </c>
      <c r="Y130" s="16">
        <v>64798</v>
      </c>
      <c r="Z130" s="16">
        <v>83478</v>
      </c>
      <c r="AA130" s="16">
        <f>0+39246</f>
        <v>39246</v>
      </c>
      <c r="AB130" s="16"/>
      <c r="AC130" s="16"/>
      <c r="AD130" s="16">
        <v>514</v>
      </c>
      <c r="AE130" s="11">
        <v>0</v>
      </c>
      <c r="AF130" s="11">
        <f>SUM(AG130:BB130)</f>
        <v>355128</v>
      </c>
      <c r="AG130" s="11">
        <v>0</v>
      </c>
      <c r="AH130" s="11">
        <v>0</v>
      </c>
      <c r="AI130" s="16">
        <f>2275</f>
        <v>2275</v>
      </c>
      <c r="AJ130" s="16">
        <f>5792+321445</f>
        <v>327237</v>
      </c>
      <c r="AK130" s="16"/>
      <c r="AL130" s="16">
        <f>0+300</f>
        <v>300</v>
      </c>
      <c r="AM130" s="16"/>
      <c r="AN130" s="16">
        <f>0+163</f>
        <v>163</v>
      </c>
      <c r="AO130" s="16">
        <v>14272</v>
      </c>
      <c r="AP130" s="16"/>
      <c r="AQ130" s="16"/>
      <c r="AR130" s="16"/>
      <c r="AS130" s="16"/>
      <c r="AT130" s="16"/>
      <c r="AU130" s="16"/>
      <c r="AV130" s="16"/>
      <c r="AW130" s="11"/>
      <c r="AX130" s="11">
        <v>0</v>
      </c>
      <c r="AY130" s="11">
        <v>0</v>
      </c>
      <c r="AZ130" s="11">
        <v>0</v>
      </c>
      <c r="BA130" s="11">
        <v>0</v>
      </c>
      <c r="BB130" s="16">
        <f>0+10881</f>
        <v>10881</v>
      </c>
      <c r="BC130" s="11">
        <f>SUM(BD130+BH130+BL130+BN130+BQ130)</f>
        <v>2451765</v>
      </c>
      <c r="BD130" s="11">
        <f>SUM(BE130:BG130)</f>
        <v>0</v>
      </c>
      <c r="BE130" s="11">
        <v>0</v>
      </c>
      <c r="BF130" s="11">
        <v>0</v>
      </c>
      <c r="BG130" s="11">
        <v>0</v>
      </c>
      <c r="BH130" s="11">
        <f t="shared" si="100"/>
        <v>0</v>
      </c>
      <c r="BI130" s="11">
        <v>0</v>
      </c>
      <c r="BJ130" s="11">
        <v>0</v>
      </c>
      <c r="BK130" s="11">
        <v>0</v>
      </c>
      <c r="BL130" s="11">
        <v>0</v>
      </c>
      <c r="BM130" s="11">
        <v>0</v>
      </c>
      <c r="BN130" s="11">
        <f t="shared" si="101"/>
        <v>0</v>
      </c>
      <c r="BO130" s="11">
        <v>0</v>
      </c>
      <c r="BP130" s="11">
        <v>0</v>
      </c>
      <c r="BQ130" s="11">
        <f t="shared" si="102"/>
        <v>2451765</v>
      </c>
      <c r="BR130" s="11">
        <v>0</v>
      </c>
      <c r="BS130" s="11">
        <v>0</v>
      </c>
      <c r="BT130" s="16">
        <v>1042711</v>
      </c>
      <c r="BU130" s="11">
        <v>0</v>
      </c>
      <c r="BV130" s="11">
        <v>0</v>
      </c>
      <c r="BW130" s="11">
        <v>0</v>
      </c>
      <c r="BX130" s="11">
        <v>0</v>
      </c>
      <c r="BY130" s="11">
        <v>0</v>
      </c>
      <c r="BZ130" s="11">
        <v>0</v>
      </c>
      <c r="CA130" s="16">
        <v>1360318</v>
      </c>
      <c r="CB130" s="16">
        <v>48736</v>
      </c>
      <c r="CC130" s="11">
        <f>SUM(CD130+CT130)</f>
        <v>72708</v>
      </c>
      <c r="CD130" s="11">
        <f>SUM(CE130+CH130+CM130)</f>
        <v>72708</v>
      </c>
      <c r="CE130" s="11">
        <f t="shared" si="103"/>
        <v>72708</v>
      </c>
      <c r="CF130" s="11">
        <v>0</v>
      </c>
      <c r="CG130" s="16">
        <f>1709+70999</f>
        <v>72708</v>
      </c>
      <c r="CH130" s="11">
        <f>SUM(CI130:CL130)</f>
        <v>0</v>
      </c>
      <c r="CI130" s="11">
        <v>0</v>
      </c>
      <c r="CJ130" s="11">
        <v>0</v>
      </c>
      <c r="CK130" s="11">
        <v>0</v>
      </c>
      <c r="CL130" s="11">
        <v>0</v>
      </c>
      <c r="CM130" s="11">
        <f>SUM(CN130:CQ130)</f>
        <v>0</v>
      </c>
      <c r="CN130" s="11">
        <v>0</v>
      </c>
      <c r="CO130" s="11">
        <v>0</v>
      </c>
      <c r="CP130" s="11"/>
      <c r="CQ130" s="11">
        <v>0</v>
      </c>
      <c r="CR130" s="11">
        <v>0</v>
      </c>
      <c r="CS130" s="11">
        <v>0</v>
      </c>
      <c r="CT130" s="11">
        <v>0</v>
      </c>
      <c r="CU130" s="11">
        <f t="shared" si="104"/>
        <v>0</v>
      </c>
      <c r="CV130" s="11">
        <f t="shared" si="105"/>
        <v>0</v>
      </c>
      <c r="CW130" s="11">
        <v>0</v>
      </c>
      <c r="CX130" s="12">
        <v>0</v>
      </c>
    </row>
    <row r="131" spans="1:102" ht="31.5" x14ac:dyDescent="0.25">
      <c r="A131" s="13"/>
      <c r="B131" s="14" t="s">
        <v>1</v>
      </c>
      <c r="C131" s="14" t="s">
        <v>88</v>
      </c>
      <c r="D131" s="15" t="s">
        <v>252</v>
      </c>
      <c r="E131" s="10">
        <f>SUM(F131+CC131+CU131)</f>
        <v>88477428</v>
      </c>
      <c r="F131" s="11">
        <f>SUM(G131+BC131)</f>
        <v>86419851</v>
      </c>
      <c r="G131" s="11">
        <f>SUM(H131+I131+J131+Q131+T131+U131+V131+AF131+AE131)</f>
        <v>71541817</v>
      </c>
      <c r="H131" s="16">
        <f>49295668+2629102</f>
        <v>51924770</v>
      </c>
      <c r="I131" s="16">
        <f>11494464+657276</f>
        <v>12151740</v>
      </c>
      <c r="J131" s="11">
        <f>SUM(K131:P131)</f>
        <v>2125650</v>
      </c>
      <c r="K131" s="16">
        <f>0+45427</f>
        <v>45427</v>
      </c>
      <c r="L131" s="16">
        <v>26456</v>
      </c>
      <c r="M131" s="16">
        <f>404787+754000</f>
        <v>1158787</v>
      </c>
      <c r="N131" s="16"/>
      <c r="O131" s="16">
        <v>341508</v>
      </c>
      <c r="P131" s="16">
        <f>10843+66868+566321-90560</f>
        <v>553472</v>
      </c>
      <c r="Q131" s="11">
        <f t="shared" si="99"/>
        <v>182</v>
      </c>
      <c r="R131" s="16">
        <v>182</v>
      </c>
      <c r="S131" s="11">
        <v>0</v>
      </c>
      <c r="T131" s="11">
        <v>0</v>
      </c>
      <c r="U131" s="16">
        <v>302819</v>
      </c>
      <c r="V131" s="11">
        <f t="shared" si="306"/>
        <v>4866324</v>
      </c>
      <c r="W131" s="16">
        <f>19009+5513</f>
        <v>24522</v>
      </c>
      <c r="X131" s="16">
        <f>3230872+44394+470334</f>
        <v>3745600</v>
      </c>
      <c r="Y131" s="16">
        <v>712279</v>
      </c>
      <c r="Z131" s="16">
        <f>290844+23925</f>
        <v>314769</v>
      </c>
      <c r="AA131" s="16">
        <v>69154</v>
      </c>
      <c r="AB131" s="16"/>
      <c r="AC131" s="16"/>
      <c r="AD131" s="16"/>
      <c r="AE131" s="11">
        <v>0</v>
      </c>
      <c r="AF131" s="11">
        <f>SUM(AG131:BB131)</f>
        <v>170332</v>
      </c>
      <c r="AG131" s="11">
        <v>0</v>
      </c>
      <c r="AH131" s="11"/>
      <c r="AI131" s="16"/>
      <c r="AJ131" s="16">
        <f>59426+55833</f>
        <v>115259</v>
      </c>
      <c r="AK131" s="16">
        <f>0+16426</f>
        <v>16426</v>
      </c>
      <c r="AL131" s="16">
        <f>10200+27024</f>
        <v>37224</v>
      </c>
      <c r="AM131" s="16"/>
      <c r="AN131" s="16">
        <f>0+1423</f>
        <v>1423</v>
      </c>
      <c r="AO131" s="16"/>
      <c r="AP131" s="16"/>
      <c r="AQ131" s="16"/>
      <c r="AR131" s="16"/>
      <c r="AS131" s="16"/>
      <c r="AT131" s="16"/>
      <c r="AU131" s="16"/>
      <c r="AV131" s="16"/>
      <c r="AW131" s="11"/>
      <c r="AX131" s="11">
        <v>0</v>
      </c>
      <c r="AY131" s="11">
        <v>0</v>
      </c>
      <c r="AZ131" s="11">
        <v>0</v>
      </c>
      <c r="BA131" s="11"/>
      <c r="BB131" s="16">
        <f>5513-5513</f>
        <v>0</v>
      </c>
      <c r="BC131" s="11">
        <f>SUM(BD131+BH131+BL131+BN131+BQ131)</f>
        <v>14878034</v>
      </c>
      <c r="BD131" s="11">
        <f>SUM(BE131:BG131)</f>
        <v>0</v>
      </c>
      <c r="BE131" s="11">
        <v>0</v>
      </c>
      <c r="BF131" s="11">
        <v>0</v>
      </c>
      <c r="BG131" s="11">
        <v>0</v>
      </c>
      <c r="BH131" s="11">
        <f t="shared" si="100"/>
        <v>0</v>
      </c>
      <c r="BI131" s="11">
        <v>0</v>
      </c>
      <c r="BJ131" s="11">
        <v>0</v>
      </c>
      <c r="BK131" s="11">
        <v>0</v>
      </c>
      <c r="BL131" s="11">
        <v>0</v>
      </c>
      <c r="BM131" s="11">
        <v>0</v>
      </c>
      <c r="BN131" s="11">
        <f t="shared" si="101"/>
        <v>0</v>
      </c>
      <c r="BO131" s="11">
        <v>0</v>
      </c>
      <c r="BP131" s="11">
        <v>0</v>
      </c>
      <c r="BQ131" s="11">
        <f t="shared" si="102"/>
        <v>14878034</v>
      </c>
      <c r="BR131" s="11">
        <v>0</v>
      </c>
      <c r="BS131" s="11">
        <v>0</v>
      </c>
      <c r="BT131" s="16">
        <f>6269886-754000</f>
        <v>5515886</v>
      </c>
      <c r="BU131" s="11">
        <v>0</v>
      </c>
      <c r="BV131" s="11">
        <v>0</v>
      </c>
      <c r="BW131" s="11">
        <v>0</v>
      </c>
      <c r="BX131" s="11">
        <v>0</v>
      </c>
      <c r="BY131" s="11">
        <v>0</v>
      </c>
      <c r="BZ131" s="11">
        <v>0</v>
      </c>
      <c r="CA131" s="16">
        <f>9409654-68319</f>
        <v>9341335</v>
      </c>
      <c r="CB131" s="16">
        <v>20813</v>
      </c>
      <c r="CC131" s="11">
        <f>SUM(CD131+CT131)</f>
        <v>2057577</v>
      </c>
      <c r="CD131" s="11">
        <f>SUM(CE131+CH131+CM131)</f>
        <v>2057577</v>
      </c>
      <c r="CE131" s="11">
        <f t="shared" si="103"/>
        <v>1828206</v>
      </c>
      <c r="CF131" s="11">
        <v>0</v>
      </c>
      <c r="CG131" s="16">
        <f>7033+1821173</f>
        <v>1828206</v>
      </c>
      <c r="CH131" s="11">
        <f>SUM(CI131:CL131)</f>
        <v>0</v>
      </c>
      <c r="CI131" s="11">
        <v>0</v>
      </c>
      <c r="CJ131" s="11">
        <v>0</v>
      </c>
      <c r="CK131" s="11">
        <v>0</v>
      </c>
      <c r="CL131" s="11">
        <v>0</v>
      </c>
      <c r="CM131" s="11">
        <f>SUM(CN131:CQ131)</f>
        <v>229371</v>
      </c>
      <c r="CN131" s="11">
        <v>229371</v>
      </c>
      <c r="CO131" s="11">
        <v>0</v>
      </c>
      <c r="CP131" s="11"/>
      <c r="CQ131" s="11">
        <v>0</v>
      </c>
      <c r="CR131" s="11"/>
      <c r="CS131" s="11"/>
      <c r="CT131" s="11">
        <v>0</v>
      </c>
      <c r="CU131" s="11">
        <f t="shared" si="104"/>
        <v>0</v>
      </c>
      <c r="CV131" s="11">
        <f t="shared" si="105"/>
        <v>0</v>
      </c>
      <c r="CW131" s="11">
        <v>0</v>
      </c>
      <c r="CX131" s="12">
        <v>0</v>
      </c>
    </row>
    <row r="132" spans="1:102" ht="31.5" x14ac:dyDescent="0.25">
      <c r="A132" s="13"/>
      <c r="B132" s="14" t="s">
        <v>1</v>
      </c>
      <c r="C132" s="14" t="s">
        <v>96</v>
      </c>
      <c r="D132" s="15" t="s">
        <v>451</v>
      </c>
      <c r="E132" s="10">
        <f>SUM(F132+CC132+CU132)</f>
        <v>13565447</v>
      </c>
      <c r="F132" s="11">
        <f>SUM(G132+BC132)</f>
        <v>11912700</v>
      </c>
      <c r="G132" s="11">
        <f>SUM(H132+I132+J132+Q132+T132+U132+V132+AF132+AE132)</f>
        <v>11831996</v>
      </c>
      <c r="H132" s="16">
        <f>4487330+239324</f>
        <v>4726654</v>
      </c>
      <c r="I132" s="16">
        <f>1045421+59831</f>
        <v>1105252</v>
      </c>
      <c r="J132" s="11">
        <f>SUM(K132:P132)</f>
        <v>4043818</v>
      </c>
      <c r="K132" s="16">
        <v>96314</v>
      </c>
      <c r="L132" s="16">
        <f>2920+72000</f>
        <v>74920</v>
      </c>
      <c r="M132" s="16">
        <v>3518071</v>
      </c>
      <c r="N132" s="16"/>
      <c r="O132" s="16">
        <f>82255+90000</f>
        <v>172255</v>
      </c>
      <c r="P132" s="16">
        <v>182258</v>
      </c>
      <c r="Q132" s="11">
        <f t="shared" si="99"/>
        <v>36452</v>
      </c>
      <c r="R132" s="16">
        <v>36452</v>
      </c>
      <c r="S132" s="11">
        <v>0</v>
      </c>
      <c r="T132" s="11">
        <v>0</v>
      </c>
      <c r="U132" s="16">
        <v>23353</v>
      </c>
      <c r="V132" s="11">
        <f t="shared" si="306"/>
        <v>416065</v>
      </c>
      <c r="W132" s="16">
        <v>36452</v>
      </c>
      <c r="X132" s="16">
        <f>167710+15252+29842</f>
        <v>212804</v>
      </c>
      <c r="Y132" s="16">
        <f>45205+24628</f>
        <v>69833</v>
      </c>
      <c r="Z132" s="16">
        <f>22283+55913</f>
        <v>78196</v>
      </c>
      <c r="AA132" s="16">
        <v>18780</v>
      </c>
      <c r="AB132" s="16"/>
      <c r="AC132" s="16"/>
      <c r="AD132" s="16"/>
      <c r="AE132" s="11">
        <v>0</v>
      </c>
      <c r="AF132" s="11">
        <f>SUM(AG132:BB132)</f>
        <v>1480402</v>
      </c>
      <c r="AG132" s="11">
        <v>0</v>
      </c>
      <c r="AH132" s="11"/>
      <c r="AI132" s="16">
        <v>36452</v>
      </c>
      <c r="AJ132" s="16">
        <f>37474+300000</f>
        <v>337474</v>
      </c>
      <c r="AK132" s="16">
        <v>6425</v>
      </c>
      <c r="AL132" s="16">
        <v>7140</v>
      </c>
      <c r="AM132" s="16"/>
      <c r="AN132" s="16">
        <f>44873-20000</f>
        <v>24873</v>
      </c>
      <c r="AO132" s="16">
        <v>3225</v>
      </c>
      <c r="AP132" s="16"/>
      <c r="AQ132" s="16"/>
      <c r="AR132" s="16"/>
      <c r="AS132" s="16"/>
      <c r="AT132" s="16">
        <v>22281</v>
      </c>
      <c r="AU132" s="16">
        <v>83800</v>
      </c>
      <c r="AV132" s="16"/>
      <c r="AW132" s="11"/>
      <c r="AX132" s="11">
        <v>0</v>
      </c>
      <c r="AY132" s="11">
        <v>0</v>
      </c>
      <c r="AZ132" s="11">
        <v>0</v>
      </c>
      <c r="BA132" s="11">
        <v>0</v>
      </c>
      <c r="BB132" s="16">
        <f>1582236-442000-181504</f>
        <v>958732</v>
      </c>
      <c r="BC132" s="11">
        <f>SUM(BD132+BH132+BL132+BN132+BQ132)</f>
        <v>80704</v>
      </c>
      <c r="BD132" s="11">
        <f>SUM(BE132:BG132)</f>
        <v>0</v>
      </c>
      <c r="BE132" s="11">
        <v>0</v>
      </c>
      <c r="BF132" s="11">
        <v>0</v>
      </c>
      <c r="BG132" s="11">
        <v>0</v>
      </c>
      <c r="BH132" s="11">
        <f t="shared" si="100"/>
        <v>0</v>
      </c>
      <c r="BI132" s="11">
        <v>0</v>
      </c>
      <c r="BJ132" s="11">
        <v>0</v>
      </c>
      <c r="BK132" s="11">
        <v>0</v>
      </c>
      <c r="BL132" s="11">
        <v>0</v>
      </c>
      <c r="BM132" s="11">
        <v>0</v>
      </c>
      <c r="BN132" s="11">
        <f t="shared" si="101"/>
        <v>0</v>
      </c>
      <c r="BO132" s="11">
        <v>0</v>
      </c>
      <c r="BP132" s="11">
        <v>0</v>
      </c>
      <c r="BQ132" s="11">
        <f t="shared" si="102"/>
        <v>80704</v>
      </c>
      <c r="BR132" s="11">
        <v>0</v>
      </c>
      <c r="BS132" s="11">
        <v>0</v>
      </c>
      <c r="BT132" s="16">
        <v>62041</v>
      </c>
      <c r="BU132" s="11">
        <v>0</v>
      </c>
      <c r="BV132" s="11">
        <v>0</v>
      </c>
      <c r="BW132" s="11">
        <v>0</v>
      </c>
      <c r="BX132" s="11">
        <v>0</v>
      </c>
      <c r="BY132" s="11">
        <v>0</v>
      </c>
      <c r="BZ132" s="11">
        <v>0</v>
      </c>
      <c r="CA132" s="16">
        <v>18663</v>
      </c>
      <c r="CB132" s="11">
        <v>0</v>
      </c>
      <c r="CC132" s="11">
        <f>SUM(CD132+CT132)</f>
        <v>1652747</v>
      </c>
      <c r="CD132" s="11">
        <f>SUM(CE132+CH132+CM132)</f>
        <v>1652747</v>
      </c>
      <c r="CE132" s="11">
        <f t="shared" si="103"/>
        <v>1309747</v>
      </c>
      <c r="CF132" s="11">
        <v>0</v>
      </c>
      <c r="CG132" s="16">
        <f>1499747-190000</f>
        <v>1309747</v>
      </c>
      <c r="CH132" s="11">
        <f>SUM(CI132:CL132)</f>
        <v>0</v>
      </c>
      <c r="CI132" s="11">
        <v>0</v>
      </c>
      <c r="CJ132" s="11">
        <v>0</v>
      </c>
      <c r="CK132" s="11">
        <v>0</v>
      </c>
      <c r="CL132" s="11">
        <v>0</v>
      </c>
      <c r="CM132" s="11">
        <f>SUM(CN132:CQ132)</f>
        <v>343000</v>
      </c>
      <c r="CN132" s="11">
        <f>0+190000+153000</f>
        <v>343000</v>
      </c>
      <c r="CO132" s="11">
        <v>0</v>
      </c>
      <c r="CP132" s="11"/>
      <c r="CQ132" s="11">
        <v>0</v>
      </c>
      <c r="CR132" s="11">
        <v>0</v>
      </c>
      <c r="CS132" s="11">
        <v>0</v>
      </c>
      <c r="CT132" s="11">
        <v>0</v>
      </c>
      <c r="CU132" s="11">
        <f t="shared" si="104"/>
        <v>0</v>
      </c>
      <c r="CV132" s="11">
        <f t="shared" si="105"/>
        <v>0</v>
      </c>
      <c r="CW132" s="11">
        <v>0</v>
      </c>
      <c r="CX132" s="12">
        <v>0</v>
      </c>
    </row>
    <row r="133" spans="1:102" ht="15.75" x14ac:dyDescent="0.25">
      <c r="A133" s="7"/>
      <c r="B133" s="8" t="s">
        <v>253</v>
      </c>
      <c r="C133" s="8" t="s">
        <v>1</v>
      </c>
      <c r="D133" s="9" t="s">
        <v>254</v>
      </c>
      <c r="E133" s="10">
        <f t="shared" ref="E133:BT133" si="307">SUM(E134:E136)</f>
        <v>122504523</v>
      </c>
      <c r="F133" s="11">
        <f t="shared" si="307"/>
        <v>122152111</v>
      </c>
      <c r="G133" s="11">
        <f t="shared" si="307"/>
        <v>108771585</v>
      </c>
      <c r="H133" s="11">
        <f t="shared" si="307"/>
        <v>84303283</v>
      </c>
      <c r="I133" s="11">
        <f t="shared" si="307"/>
        <v>19882647</v>
      </c>
      <c r="J133" s="11">
        <f t="shared" si="307"/>
        <v>684966</v>
      </c>
      <c r="K133" s="11">
        <f t="shared" si="307"/>
        <v>18115</v>
      </c>
      <c r="L133" s="11">
        <f t="shared" si="307"/>
        <v>2860</v>
      </c>
      <c r="M133" s="11">
        <f t="shared" si="307"/>
        <v>389760</v>
      </c>
      <c r="N133" s="11">
        <f t="shared" si="307"/>
        <v>0</v>
      </c>
      <c r="O133" s="11">
        <f t="shared" si="307"/>
        <v>15546</v>
      </c>
      <c r="P133" s="11">
        <f t="shared" si="307"/>
        <v>258685</v>
      </c>
      <c r="Q133" s="11">
        <f t="shared" si="307"/>
        <v>0</v>
      </c>
      <c r="R133" s="11">
        <f t="shared" si="307"/>
        <v>0</v>
      </c>
      <c r="S133" s="11">
        <f t="shared" si="307"/>
        <v>0</v>
      </c>
      <c r="T133" s="11">
        <f t="shared" si="307"/>
        <v>0</v>
      </c>
      <c r="U133" s="11">
        <f t="shared" si="307"/>
        <v>360236</v>
      </c>
      <c r="V133" s="11">
        <f t="shared" si="307"/>
        <v>2823543</v>
      </c>
      <c r="W133" s="11">
        <f t="shared" si="307"/>
        <v>0</v>
      </c>
      <c r="X133" s="11">
        <f t="shared" si="307"/>
        <v>1809658</v>
      </c>
      <c r="Y133" s="11">
        <f t="shared" si="307"/>
        <v>544980</v>
      </c>
      <c r="Z133" s="11">
        <f t="shared" si="307"/>
        <v>267717</v>
      </c>
      <c r="AA133" s="11">
        <f t="shared" si="307"/>
        <v>182613</v>
      </c>
      <c r="AB133" s="11">
        <f t="shared" si="307"/>
        <v>18288</v>
      </c>
      <c r="AC133" s="11">
        <f t="shared" si="307"/>
        <v>0</v>
      </c>
      <c r="AD133" s="11">
        <f t="shared" si="307"/>
        <v>287</v>
      </c>
      <c r="AE133" s="11">
        <f t="shared" si="307"/>
        <v>0</v>
      </c>
      <c r="AF133" s="11">
        <f t="shared" si="307"/>
        <v>716910</v>
      </c>
      <c r="AG133" s="11">
        <f t="shared" si="307"/>
        <v>0</v>
      </c>
      <c r="AH133" s="11">
        <f t="shared" si="307"/>
        <v>0</v>
      </c>
      <c r="AI133" s="11">
        <f t="shared" si="307"/>
        <v>0</v>
      </c>
      <c r="AJ133" s="11">
        <f t="shared" si="307"/>
        <v>27795</v>
      </c>
      <c r="AK133" s="11">
        <f t="shared" si="307"/>
        <v>101428</v>
      </c>
      <c r="AL133" s="11">
        <f t="shared" si="307"/>
        <v>0</v>
      </c>
      <c r="AM133" s="11">
        <f t="shared" si="307"/>
        <v>0</v>
      </c>
      <c r="AN133" s="11">
        <f t="shared" si="307"/>
        <v>0</v>
      </c>
      <c r="AO133" s="11">
        <f t="shared" si="307"/>
        <v>107798</v>
      </c>
      <c r="AP133" s="11">
        <f t="shared" si="307"/>
        <v>0</v>
      </c>
      <c r="AQ133" s="11">
        <f t="shared" si="307"/>
        <v>0</v>
      </c>
      <c r="AR133" s="11">
        <f t="shared" ref="AR133" si="308">SUM(AR134:AR136)</f>
        <v>0</v>
      </c>
      <c r="AS133" s="11">
        <f t="shared" si="307"/>
        <v>0</v>
      </c>
      <c r="AT133" s="11">
        <f t="shared" si="307"/>
        <v>0</v>
      </c>
      <c r="AU133" s="11">
        <f t="shared" si="307"/>
        <v>29889</v>
      </c>
      <c r="AV133" s="11"/>
      <c r="AW133" s="11"/>
      <c r="AX133" s="11">
        <f t="shared" si="307"/>
        <v>0</v>
      </c>
      <c r="AY133" s="11">
        <f t="shared" si="307"/>
        <v>0</v>
      </c>
      <c r="AZ133" s="11">
        <f t="shared" si="307"/>
        <v>0</v>
      </c>
      <c r="BA133" s="11">
        <f t="shared" si="307"/>
        <v>0</v>
      </c>
      <c r="BB133" s="11">
        <f t="shared" si="307"/>
        <v>450000</v>
      </c>
      <c r="BC133" s="11">
        <f t="shared" si="307"/>
        <v>13380526</v>
      </c>
      <c r="BD133" s="11">
        <f t="shared" si="307"/>
        <v>0</v>
      </c>
      <c r="BE133" s="11">
        <f t="shared" si="307"/>
        <v>0</v>
      </c>
      <c r="BF133" s="11">
        <f t="shared" si="307"/>
        <v>0</v>
      </c>
      <c r="BG133" s="11">
        <f t="shared" si="307"/>
        <v>0</v>
      </c>
      <c r="BH133" s="11">
        <f t="shared" si="307"/>
        <v>0</v>
      </c>
      <c r="BI133" s="11">
        <f t="shared" si="307"/>
        <v>0</v>
      </c>
      <c r="BJ133" s="11">
        <f t="shared" si="307"/>
        <v>0</v>
      </c>
      <c r="BK133" s="11">
        <f t="shared" si="307"/>
        <v>0</v>
      </c>
      <c r="BL133" s="11">
        <f t="shared" si="307"/>
        <v>0</v>
      </c>
      <c r="BM133" s="11">
        <f t="shared" si="307"/>
        <v>0</v>
      </c>
      <c r="BN133" s="11">
        <f t="shared" si="307"/>
        <v>0</v>
      </c>
      <c r="BO133" s="11">
        <f t="shared" si="307"/>
        <v>0</v>
      </c>
      <c r="BP133" s="11">
        <f t="shared" ref="BP133" si="309">SUM(BP134:BP136)</f>
        <v>0</v>
      </c>
      <c r="BQ133" s="11">
        <f t="shared" si="307"/>
        <v>13380526</v>
      </c>
      <c r="BR133" s="11">
        <f t="shared" si="307"/>
        <v>0</v>
      </c>
      <c r="BS133" s="11">
        <f t="shared" si="307"/>
        <v>0</v>
      </c>
      <c r="BT133" s="11">
        <f t="shared" si="307"/>
        <v>8356563</v>
      </c>
      <c r="BU133" s="11">
        <f t="shared" ref="BU133:CX133" si="310">SUM(BU134:BU136)</f>
        <v>0</v>
      </c>
      <c r="BV133" s="11">
        <f t="shared" si="310"/>
        <v>0</v>
      </c>
      <c r="BW133" s="11">
        <f t="shared" si="310"/>
        <v>0</v>
      </c>
      <c r="BX133" s="11">
        <f t="shared" si="310"/>
        <v>0</v>
      </c>
      <c r="BY133" s="11">
        <f t="shared" si="310"/>
        <v>0</v>
      </c>
      <c r="BZ133" s="11">
        <f t="shared" si="310"/>
        <v>0</v>
      </c>
      <c r="CA133" s="11">
        <f t="shared" si="310"/>
        <v>4483195</v>
      </c>
      <c r="CB133" s="11">
        <f t="shared" si="310"/>
        <v>540768</v>
      </c>
      <c r="CC133" s="11">
        <f t="shared" si="310"/>
        <v>352412</v>
      </c>
      <c r="CD133" s="11">
        <f t="shared" si="310"/>
        <v>352412</v>
      </c>
      <c r="CE133" s="11">
        <f t="shared" si="310"/>
        <v>337597</v>
      </c>
      <c r="CF133" s="11">
        <f t="shared" si="310"/>
        <v>0</v>
      </c>
      <c r="CG133" s="11">
        <f t="shared" si="310"/>
        <v>337597</v>
      </c>
      <c r="CH133" s="11">
        <f t="shared" si="310"/>
        <v>0</v>
      </c>
      <c r="CI133" s="11">
        <f t="shared" si="310"/>
        <v>0</v>
      </c>
      <c r="CJ133" s="11">
        <f t="shared" si="310"/>
        <v>0</v>
      </c>
      <c r="CK133" s="11">
        <f t="shared" si="310"/>
        <v>0</v>
      </c>
      <c r="CL133" s="11">
        <f t="shared" si="310"/>
        <v>0</v>
      </c>
      <c r="CM133" s="11">
        <f t="shared" si="310"/>
        <v>14815</v>
      </c>
      <c r="CN133" s="11">
        <f t="shared" si="310"/>
        <v>14815</v>
      </c>
      <c r="CO133" s="11">
        <f t="shared" si="310"/>
        <v>0</v>
      </c>
      <c r="CP133" s="11"/>
      <c r="CQ133" s="11">
        <f t="shared" si="310"/>
        <v>0</v>
      </c>
      <c r="CR133" s="11">
        <f t="shared" si="310"/>
        <v>0</v>
      </c>
      <c r="CS133" s="11">
        <f t="shared" si="310"/>
        <v>0</v>
      </c>
      <c r="CT133" s="11">
        <f t="shared" si="310"/>
        <v>0</v>
      </c>
      <c r="CU133" s="11">
        <f t="shared" si="310"/>
        <v>0</v>
      </c>
      <c r="CV133" s="11">
        <f t="shared" si="310"/>
        <v>0</v>
      </c>
      <c r="CW133" s="11">
        <f t="shared" si="310"/>
        <v>0</v>
      </c>
      <c r="CX133" s="12">
        <f t="shared" si="310"/>
        <v>0</v>
      </c>
    </row>
    <row r="134" spans="1:102" ht="15.75" x14ac:dyDescent="0.25">
      <c r="A134" s="13" t="s">
        <v>1</v>
      </c>
      <c r="B134" s="14" t="s">
        <v>1</v>
      </c>
      <c r="C134" s="14" t="s">
        <v>88</v>
      </c>
      <c r="D134" s="15" t="s">
        <v>255</v>
      </c>
      <c r="E134" s="10">
        <f>SUM(F134+CC134+CU134)</f>
        <v>474912</v>
      </c>
      <c r="F134" s="11">
        <f>SUM(G134+BC134)</f>
        <v>474912</v>
      </c>
      <c r="G134" s="11">
        <f>SUM(H134+I134+J134+Q134+T134+U134+V134+AF134+AE134)</f>
        <v>0</v>
      </c>
      <c r="H134" s="11">
        <v>0</v>
      </c>
      <c r="I134" s="11">
        <v>0</v>
      </c>
      <c r="J134" s="11">
        <f>SUM(K134:P134)</f>
        <v>0</v>
      </c>
      <c r="K134" s="16"/>
      <c r="L134" s="16"/>
      <c r="M134" s="16"/>
      <c r="N134" s="16"/>
      <c r="O134" s="16"/>
      <c r="P134" s="16"/>
      <c r="Q134" s="11">
        <f t="shared" si="99"/>
        <v>0</v>
      </c>
      <c r="R134" s="11">
        <v>0</v>
      </c>
      <c r="S134" s="11">
        <v>0</v>
      </c>
      <c r="T134" s="11">
        <v>0</v>
      </c>
      <c r="U134" s="16"/>
      <c r="V134" s="11">
        <f t="shared" ref="V134:V136" si="311">SUM(W134:AD134)</f>
        <v>0</v>
      </c>
      <c r="W134" s="16"/>
      <c r="X134" s="16"/>
      <c r="Y134" s="16"/>
      <c r="Z134" s="16"/>
      <c r="AA134" s="16"/>
      <c r="AB134" s="16"/>
      <c r="AC134" s="16"/>
      <c r="AD134" s="16"/>
      <c r="AE134" s="11">
        <v>0</v>
      </c>
      <c r="AF134" s="11">
        <f>SUM(AG134:BB134)</f>
        <v>0</v>
      </c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1">
        <v>0</v>
      </c>
      <c r="AV134" s="11"/>
      <c r="AW134" s="11"/>
      <c r="AX134" s="11">
        <v>0</v>
      </c>
      <c r="AY134" s="11">
        <v>0</v>
      </c>
      <c r="AZ134" s="11">
        <v>0</v>
      </c>
      <c r="BA134" s="11">
        <v>0</v>
      </c>
      <c r="BB134" s="16"/>
      <c r="BC134" s="11">
        <f>SUM(BD134+BH134+BL134+BN134+BQ134)</f>
        <v>474912</v>
      </c>
      <c r="BD134" s="11">
        <f>SUM(BE134:BG134)</f>
        <v>0</v>
      </c>
      <c r="BE134" s="11">
        <v>0</v>
      </c>
      <c r="BF134" s="11">
        <v>0</v>
      </c>
      <c r="BG134" s="11">
        <v>0</v>
      </c>
      <c r="BH134" s="11">
        <f t="shared" si="100"/>
        <v>0</v>
      </c>
      <c r="BI134" s="11">
        <v>0</v>
      </c>
      <c r="BJ134" s="11">
        <v>0</v>
      </c>
      <c r="BK134" s="11">
        <v>0</v>
      </c>
      <c r="BL134" s="11">
        <v>0</v>
      </c>
      <c r="BM134" s="11">
        <v>0</v>
      </c>
      <c r="BN134" s="11">
        <f t="shared" si="101"/>
        <v>0</v>
      </c>
      <c r="BO134" s="11">
        <v>0</v>
      </c>
      <c r="BP134" s="11">
        <v>0</v>
      </c>
      <c r="BQ134" s="11">
        <f t="shared" si="102"/>
        <v>474912</v>
      </c>
      <c r="BR134" s="11">
        <v>0</v>
      </c>
      <c r="BS134" s="11">
        <v>0</v>
      </c>
      <c r="BT134" s="16">
        <v>474912</v>
      </c>
      <c r="BU134" s="11">
        <v>0</v>
      </c>
      <c r="BV134" s="11">
        <v>0</v>
      </c>
      <c r="BW134" s="11">
        <v>0</v>
      </c>
      <c r="BX134" s="11">
        <v>0</v>
      </c>
      <c r="BY134" s="11">
        <v>0</v>
      </c>
      <c r="BZ134" s="11">
        <v>0</v>
      </c>
      <c r="CA134" s="16"/>
      <c r="CB134" s="16"/>
      <c r="CC134" s="11">
        <f>SUM(CD134+CT134)</f>
        <v>0</v>
      </c>
      <c r="CD134" s="11">
        <f>SUM(CE134+CH134+CM134)</f>
        <v>0</v>
      </c>
      <c r="CE134" s="11">
        <f t="shared" si="103"/>
        <v>0</v>
      </c>
      <c r="CF134" s="11">
        <v>0</v>
      </c>
      <c r="CG134" s="16"/>
      <c r="CH134" s="11">
        <f>SUM(CI134:CL134)</f>
        <v>0</v>
      </c>
      <c r="CI134" s="11">
        <v>0</v>
      </c>
      <c r="CJ134" s="11">
        <v>0</v>
      </c>
      <c r="CK134" s="11">
        <v>0</v>
      </c>
      <c r="CL134" s="11">
        <v>0</v>
      </c>
      <c r="CM134" s="11">
        <f>SUM(CN134:CQ134)</f>
        <v>0</v>
      </c>
      <c r="CN134" s="11">
        <v>0</v>
      </c>
      <c r="CO134" s="11">
        <v>0</v>
      </c>
      <c r="CP134" s="11"/>
      <c r="CQ134" s="11">
        <v>0</v>
      </c>
      <c r="CR134" s="11">
        <v>0</v>
      </c>
      <c r="CS134" s="11">
        <v>0</v>
      </c>
      <c r="CT134" s="11">
        <v>0</v>
      </c>
      <c r="CU134" s="11">
        <f t="shared" si="104"/>
        <v>0</v>
      </c>
      <c r="CV134" s="11">
        <f t="shared" si="105"/>
        <v>0</v>
      </c>
      <c r="CW134" s="11">
        <v>0</v>
      </c>
      <c r="CX134" s="12">
        <v>0</v>
      </c>
    </row>
    <row r="135" spans="1:102" ht="15.75" x14ac:dyDescent="0.25">
      <c r="A135" s="13" t="s">
        <v>1</v>
      </c>
      <c r="B135" s="14" t="s">
        <v>1</v>
      </c>
      <c r="C135" s="14" t="s">
        <v>208</v>
      </c>
      <c r="D135" s="15" t="s">
        <v>256</v>
      </c>
      <c r="E135" s="10">
        <f>SUM(F135+CC135+CU135)</f>
        <v>107965041</v>
      </c>
      <c r="F135" s="11">
        <f>SUM(G135+BC135)</f>
        <v>107898879</v>
      </c>
      <c r="G135" s="11">
        <f>SUM(H135+I135+J135+Q135+T135+U135+V135+AF135+AE135)</f>
        <v>95824771</v>
      </c>
      <c r="H135" s="11">
        <f>70885910+3780582-445318</f>
        <v>74221174</v>
      </c>
      <c r="I135" s="11">
        <f>16576826+945145-86375</f>
        <v>17435596</v>
      </c>
      <c r="J135" s="11">
        <f>SUM(K135:P135)</f>
        <v>657146</v>
      </c>
      <c r="K135" s="16">
        <f>0+17185</f>
        <v>17185</v>
      </c>
      <c r="L135" s="16"/>
      <c r="M135" s="16">
        <v>389760</v>
      </c>
      <c r="N135" s="16"/>
      <c r="O135" s="16">
        <v>10260</v>
      </c>
      <c r="P135" s="16">
        <f>9383+230558</f>
        <v>239941</v>
      </c>
      <c r="Q135" s="11">
        <f t="shared" si="99"/>
        <v>0</v>
      </c>
      <c r="R135" s="11"/>
      <c r="S135" s="11">
        <v>0</v>
      </c>
      <c r="T135" s="11">
        <v>0</v>
      </c>
      <c r="U135" s="16">
        <v>310900</v>
      </c>
      <c r="V135" s="11">
        <f t="shared" si="311"/>
        <v>2557208</v>
      </c>
      <c r="W135" s="16"/>
      <c r="X135" s="16">
        <v>1608352</v>
      </c>
      <c r="Y135" s="16">
        <v>504660</v>
      </c>
      <c r="Z135" s="16">
        <v>253484</v>
      </c>
      <c r="AA135" s="16">
        <v>172137</v>
      </c>
      <c r="AB135" s="16">
        <v>18288</v>
      </c>
      <c r="AC135" s="16"/>
      <c r="AD135" s="16">
        <v>287</v>
      </c>
      <c r="AE135" s="11"/>
      <c r="AF135" s="11">
        <f>SUM(AG135:BB135)</f>
        <v>642747</v>
      </c>
      <c r="AG135" s="16"/>
      <c r="AH135" s="16"/>
      <c r="AI135" s="16"/>
      <c r="AJ135" s="16"/>
      <c r="AK135" s="16">
        <v>101428</v>
      </c>
      <c r="AL135" s="16"/>
      <c r="AM135" s="16"/>
      <c r="AN135" s="16"/>
      <c r="AO135" s="16">
        <v>91319</v>
      </c>
      <c r="AP135" s="16"/>
      <c r="AQ135" s="16"/>
      <c r="AR135" s="16"/>
      <c r="AS135" s="16"/>
      <c r="AT135" s="16"/>
      <c r="AU135" s="11">
        <v>0</v>
      </c>
      <c r="AV135" s="11"/>
      <c r="AW135" s="11"/>
      <c r="AX135" s="11">
        <v>0</v>
      </c>
      <c r="AY135" s="11">
        <v>0</v>
      </c>
      <c r="AZ135" s="11">
        <v>0</v>
      </c>
      <c r="BA135" s="11"/>
      <c r="BB135" s="16">
        <v>450000</v>
      </c>
      <c r="BC135" s="11">
        <f>SUM(BD135+BH135+BL135+BN135+BQ135)</f>
        <v>12074108</v>
      </c>
      <c r="BD135" s="11">
        <f>SUM(BE135:BG135)</f>
        <v>0</v>
      </c>
      <c r="BE135" s="11">
        <v>0</v>
      </c>
      <c r="BF135" s="11">
        <v>0</v>
      </c>
      <c r="BG135" s="11">
        <v>0</v>
      </c>
      <c r="BH135" s="11">
        <f t="shared" si="100"/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v>0</v>
      </c>
      <c r="BN135" s="11">
        <f t="shared" si="101"/>
        <v>0</v>
      </c>
      <c r="BO135" s="11">
        <v>0</v>
      </c>
      <c r="BP135" s="11">
        <v>0</v>
      </c>
      <c r="BQ135" s="11">
        <f t="shared" si="102"/>
        <v>12074108</v>
      </c>
      <c r="BR135" s="11">
        <v>0</v>
      </c>
      <c r="BS135" s="11">
        <v>0</v>
      </c>
      <c r="BT135" s="16">
        <f>7654115-363194</f>
        <v>7290921</v>
      </c>
      <c r="BU135" s="11">
        <v>0</v>
      </c>
      <c r="BV135" s="11">
        <v>0</v>
      </c>
      <c r="BW135" s="11">
        <v>0</v>
      </c>
      <c r="BX135" s="11">
        <v>0</v>
      </c>
      <c r="BY135" s="11">
        <v>0</v>
      </c>
      <c r="BZ135" s="11">
        <v>0</v>
      </c>
      <c r="CA135" s="16">
        <v>4242419</v>
      </c>
      <c r="CB135" s="16">
        <v>540768</v>
      </c>
      <c r="CC135" s="11">
        <f>SUM(CD135+CT135)</f>
        <v>66162</v>
      </c>
      <c r="CD135" s="11">
        <f>SUM(CE135+CH135+CM135)</f>
        <v>66162</v>
      </c>
      <c r="CE135" s="11">
        <f t="shared" si="103"/>
        <v>66162</v>
      </c>
      <c r="CF135" s="11">
        <v>0</v>
      </c>
      <c r="CG135" s="16">
        <v>66162</v>
      </c>
      <c r="CH135" s="11">
        <f>SUM(CI135:CL135)</f>
        <v>0</v>
      </c>
      <c r="CI135" s="11">
        <v>0</v>
      </c>
      <c r="CJ135" s="11">
        <v>0</v>
      </c>
      <c r="CK135" s="11">
        <v>0</v>
      </c>
      <c r="CL135" s="11">
        <v>0</v>
      </c>
      <c r="CM135" s="11">
        <f>SUM(CN135:CQ135)</f>
        <v>0</v>
      </c>
      <c r="CN135" s="11">
        <v>0</v>
      </c>
      <c r="CO135" s="11">
        <v>0</v>
      </c>
      <c r="CP135" s="11"/>
      <c r="CQ135" s="11">
        <v>0</v>
      </c>
      <c r="CR135" s="11"/>
      <c r="CS135" s="11"/>
      <c r="CT135" s="11">
        <v>0</v>
      </c>
      <c r="CU135" s="11">
        <f t="shared" si="104"/>
        <v>0</v>
      </c>
      <c r="CV135" s="11">
        <f t="shared" si="105"/>
        <v>0</v>
      </c>
      <c r="CW135" s="11">
        <v>0</v>
      </c>
      <c r="CX135" s="12">
        <v>0</v>
      </c>
    </row>
    <row r="136" spans="1:102" ht="15.75" x14ac:dyDescent="0.25">
      <c r="A136" s="13" t="s">
        <v>1</v>
      </c>
      <c r="B136" s="14" t="s">
        <v>1</v>
      </c>
      <c r="C136" s="14" t="s">
        <v>98</v>
      </c>
      <c r="D136" s="15" t="s">
        <v>257</v>
      </c>
      <c r="E136" s="10">
        <f>SUM(F136+CC136+CU136)</f>
        <v>14064570</v>
      </c>
      <c r="F136" s="11">
        <f>SUM(G136+BC136)</f>
        <v>13778320</v>
      </c>
      <c r="G136" s="11">
        <f>SUM(H136+I136+J136+Q136+T136+U136+V136+AF136+AE136)</f>
        <v>12946814</v>
      </c>
      <c r="H136" s="11">
        <f>10079084-20028-328619+518957-167285</f>
        <v>10082109</v>
      </c>
      <c r="I136" s="11">
        <f>2375325-5007-37320+129739-15686</f>
        <v>2447051</v>
      </c>
      <c r="J136" s="11">
        <f>SUM(K136:P136)</f>
        <v>27820</v>
      </c>
      <c r="K136" s="16">
        <f>0+930</f>
        <v>930</v>
      </c>
      <c r="L136" s="16">
        <v>2860</v>
      </c>
      <c r="M136" s="16"/>
      <c r="N136" s="16"/>
      <c r="O136" s="16">
        <f>6863-1577</f>
        <v>5286</v>
      </c>
      <c r="P136" s="16">
        <f>0+18744</f>
        <v>18744</v>
      </c>
      <c r="Q136" s="11">
        <f t="shared" si="99"/>
        <v>0</v>
      </c>
      <c r="R136" s="11">
        <v>0</v>
      </c>
      <c r="S136" s="11">
        <v>0</v>
      </c>
      <c r="T136" s="11">
        <v>0</v>
      </c>
      <c r="U136" s="16">
        <v>49336</v>
      </c>
      <c r="V136" s="11">
        <f t="shared" si="311"/>
        <v>266335</v>
      </c>
      <c r="W136" s="16"/>
      <c r="X136" s="16">
        <f>184700+16606</f>
        <v>201306</v>
      </c>
      <c r="Y136" s="16">
        <f>37419+2901</f>
        <v>40320</v>
      </c>
      <c r="Z136" s="16">
        <v>14233</v>
      </c>
      <c r="AA136" s="16">
        <v>10476</v>
      </c>
      <c r="AB136" s="16"/>
      <c r="AC136" s="16"/>
      <c r="AD136" s="16"/>
      <c r="AE136" s="11">
        <v>0</v>
      </c>
      <c r="AF136" s="11">
        <f>SUM(AG136:BB136)</f>
        <v>74163</v>
      </c>
      <c r="AG136" s="16"/>
      <c r="AH136" s="16"/>
      <c r="AI136" s="16"/>
      <c r="AJ136" s="16">
        <v>27795</v>
      </c>
      <c r="AK136" s="16"/>
      <c r="AL136" s="16"/>
      <c r="AM136" s="16"/>
      <c r="AN136" s="16"/>
      <c r="AO136" s="16">
        <v>16479</v>
      </c>
      <c r="AP136" s="16"/>
      <c r="AQ136" s="16"/>
      <c r="AR136" s="16"/>
      <c r="AS136" s="16"/>
      <c r="AT136" s="16"/>
      <c r="AU136" s="11">
        <f>0+29889</f>
        <v>29889</v>
      </c>
      <c r="AV136" s="11"/>
      <c r="AW136" s="11"/>
      <c r="AX136" s="11">
        <v>0</v>
      </c>
      <c r="AY136" s="11">
        <v>0</v>
      </c>
      <c r="AZ136" s="11">
        <v>0</v>
      </c>
      <c r="BA136" s="11">
        <v>0</v>
      </c>
      <c r="BB136" s="16"/>
      <c r="BC136" s="11">
        <f>SUM(BD136+BH136+BL136+BN136+BQ136)</f>
        <v>831506</v>
      </c>
      <c r="BD136" s="11">
        <f>SUM(BE136:BG136)</f>
        <v>0</v>
      </c>
      <c r="BE136" s="11">
        <v>0</v>
      </c>
      <c r="BF136" s="11">
        <v>0</v>
      </c>
      <c r="BG136" s="11">
        <v>0</v>
      </c>
      <c r="BH136" s="11">
        <f t="shared" si="100"/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v>0</v>
      </c>
      <c r="BN136" s="11">
        <f t="shared" si="101"/>
        <v>0</v>
      </c>
      <c r="BO136" s="11">
        <v>0</v>
      </c>
      <c r="BP136" s="11">
        <v>0</v>
      </c>
      <c r="BQ136" s="11">
        <f t="shared" si="102"/>
        <v>831506</v>
      </c>
      <c r="BR136" s="11">
        <v>0</v>
      </c>
      <c r="BS136" s="11">
        <v>0</v>
      </c>
      <c r="BT136" s="16">
        <v>590730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6">
        <v>240776</v>
      </c>
      <c r="CB136" s="16"/>
      <c r="CC136" s="11">
        <f>SUM(CD136+CT136)</f>
        <v>286250</v>
      </c>
      <c r="CD136" s="11">
        <f>SUM(CE136+CH136+CM136)</f>
        <v>286250</v>
      </c>
      <c r="CE136" s="11">
        <f t="shared" si="103"/>
        <v>271435</v>
      </c>
      <c r="CF136" s="11">
        <v>0</v>
      </c>
      <c r="CG136" s="16">
        <f>51189+117598+102648</f>
        <v>271435</v>
      </c>
      <c r="CH136" s="11">
        <f>SUM(CI136:CL136)</f>
        <v>0</v>
      </c>
      <c r="CI136" s="11">
        <v>0</v>
      </c>
      <c r="CJ136" s="11">
        <v>0</v>
      </c>
      <c r="CK136" s="11">
        <v>0</v>
      </c>
      <c r="CL136" s="11">
        <v>0</v>
      </c>
      <c r="CM136" s="11">
        <f>SUM(CN136:CQ136)</f>
        <v>14815</v>
      </c>
      <c r="CN136" s="11">
        <v>14815</v>
      </c>
      <c r="CO136" s="11">
        <v>0</v>
      </c>
      <c r="CP136" s="11"/>
      <c r="CQ136" s="11">
        <v>0</v>
      </c>
      <c r="CR136" s="11">
        <v>0</v>
      </c>
      <c r="CS136" s="11">
        <v>0</v>
      </c>
      <c r="CT136" s="11">
        <v>0</v>
      </c>
      <c r="CU136" s="11">
        <f t="shared" si="104"/>
        <v>0</v>
      </c>
      <c r="CV136" s="11">
        <f t="shared" si="105"/>
        <v>0</v>
      </c>
      <c r="CW136" s="11">
        <v>0</v>
      </c>
      <c r="CX136" s="12">
        <v>0</v>
      </c>
    </row>
    <row r="137" spans="1:102" ht="31.5" x14ac:dyDescent="0.25">
      <c r="A137" s="7"/>
      <c r="B137" s="8" t="s">
        <v>258</v>
      </c>
      <c r="C137" s="8" t="s">
        <v>1</v>
      </c>
      <c r="D137" s="9" t="s">
        <v>259</v>
      </c>
      <c r="E137" s="10">
        <f>SUM(E138)</f>
        <v>3615043</v>
      </c>
      <c r="F137" s="11">
        <f t="shared" ref="F137:BW137" si="312">SUM(F138)</f>
        <v>3615043</v>
      </c>
      <c r="G137" s="11">
        <f t="shared" si="312"/>
        <v>3615043</v>
      </c>
      <c r="H137" s="11">
        <f t="shared" si="312"/>
        <v>2842813</v>
      </c>
      <c r="I137" s="11">
        <f t="shared" si="312"/>
        <v>639666</v>
      </c>
      <c r="J137" s="11">
        <f t="shared" si="312"/>
        <v>26568</v>
      </c>
      <c r="K137" s="11">
        <f t="shared" si="312"/>
        <v>0</v>
      </c>
      <c r="L137" s="11">
        <f t="shared" si="312"/>
        <v>0</v>
      </c>
      <c r="M137" s="11">
        <f t="shared" si="312"/>
        <v>0</v>
      </c>
      <c r="N137" s="11">
        <f t="shared" si="312"/>
        <v>0</v>
      </c>
      <c r="O137" s="11">
        <f t="shared" si="312"/>
        <v>20644</v>
      </c>
      <c r="P137" s="11">
        <f t="shared" si="312"/>
        <v>5924</v>
      </c>
      <c r="Q137" s="11">
        <f t="shared" si="312"/>
        <v>896</v>
      </c>
      <c r="R137" s="11">
        <f t="shared" si="312"/>
        <v>896</v>
      </c>
      <c r="S137" s="11">
        <f t="shared" si="312"/>
        <v>0</v>
      </c>
      <c r="T137" s="11">
        <f t="shared" si="312"/>
        <v>0</v>
      </c>
      <c r="U137" s="11">
        <f t="shared" si="312"/>
        <v>24233</v>
      </c>
      <c r="V137" s="11">
        <f t="shared" si="312"/>
        <v>80060</v>
      </c>
      <c r="W137" s="11">
        <f t="shared" si="312"/>
        <v>806</v>
      </c>
      <c r="X137" s="11">
        <f t="shared" si="312"/>
        <v>57218</v>
      </c>
      <c r="Y137" s="11">
        <f t="shared" si="312"/>
        <v>11452</v>
      </c>
      <c r="Z137" s="11">
        <f t="shared" si="312"/>
        <v>6382</v>
      </c>
      <c r="AA137" s="11">
        <f t="shared" si="312"/>
        <v>4202</v>
      </c>
      <c r="AB137" s="11">
        <f t="shared" si="312"/>
        <v>0</v>
      </c>
      <c r="AC137" s="11">
        <f t="shared" si="312"/>
        <v>0</v>
      </c>
      <c r="AD137" s="11">
        <f t="shared" si="312"/>
        <v>0</v>
      </c>
      <c r="AE137" s="11">
        <f t="shared" si="312"/>
        <v>0</v>
      </c>
      <c r="AF137" s="11">
        <f t="shared" si="312"/>
        <v>807</v>
      </c>
      <c r="AG137" s="11">
        <f t="shared" si="312"/>
        <v>0</v>
      </c>
      <c r="AH137" s="11">
        <f t="shared" si="312"/>
        <v>0</v>
      </c>
      <c r="AI137" s="11">
        <f t="shared" si="312"/>
        <v>0</v>
      </c>
      <c r="AJ137" s="11">
        <f t="shared" si="312"/>
        <v>0</v>
      </c>
      <c r="AK137" s="11">
        <f t="shared" si="312"/>
        <v>0</v>
      </c>
      <c r="AL137" s="11">
        <f t="shared" si="312"/>
        <v>0</v>
      </c>
      <c r="AM137" s="11">
        <f t="shared" si="312"/>
        <v>0</v>
      </c>
      <c r="AN137" s="11">
        <f t="shared" si="312"/>
        <v>807</v>
      </c>
      <c r="AO137" s="11">
        <f t="shared" si="312"/>
        <v>0</v>
      </c>
      <c r="AP137" s="11">
        <f t="shared" si="312"/>
        <v>0</v>
      </c>
      <c r="AQ137" s="11">
        <f t="shared" si="312"/>
        <v>0</v>
      </c>
      <c r="AR137" s="11">
        <f t="shared" si="312"/>
        <v>0</v>
      </c>
      <c r="AS137" s="11">
        <f t="shared" si="312"/>
        <v>0</v>
      </c>
      <c r="AT137" s="11">
        <f t="shared" si="312"/>
        <v>0</v>
      </c>
      <c r="AU137" s="11">
        <f t="shared" si="312"/>
        <v>0</v>
      </c>
      <c r="AV137" s="11"/>
      <c r="AW137" s="11"/>
      <c r="AX137" s="11">
        <f t="shared" si="312"/>
        <v>0</v>
      </c>
      <c r="AY137" s="11">
        <f t="shared" si="312"/>
        <v>0</v>
      </c>
      <c r="AZ137" s="11">
        <f t="shared" si="312"/>
        <v>0</v>
      </c>
      <c r="BA137" s="11">
        <f t="shared" si="312"/>
        <v>0</v>
      </c>
      <c r="BB137" s="11">
        <f t="shared" si="312"/>
        <v>0</v>
      </c>
      <c r="BC137" s="11">
        <f t="shared" si="312"/>
        <v>0</v>
      </c>
      <c r="BD137" s="11">
        <f t="shared" si="312"/>
        <v>0</v>
      </c>
      <c r="BE137" s="11">
        <f t="shared" si="312"/>
        <v>0</v>
      </c>
      <c r="BF137" s="11">
        <f t="shared" si="312"/>
        <v>0</v>
      </c>
      <c r="BG137" s="11">
        <f t="shared" si="312"/>
        <v>0</v>
      </c>
      <c r="BH137" s="11">
        <f t="shared" si="312"/>
        <v>0</v>
      </c>
      <c r="BI137" s="11">
        <f t="shared" si="312"/>
        <v>0</v>
      </c>
      <c r="BJ137" s="11">
        <f t="shared" si="312"/>
        <v>0</v>
      </c>
      <c r="BK137" s="11">
        <f t="shared" si="312"/>
        <v>0</v>
      </c>
      <c r="BL137" s="11">
        <f t="shared" si="312"/>
        <v>0</v>
      </c>
      <c r="BM137" s="11">
        <f t="shared" si="312"/>
        <v>0</v>
      </c>
      <c r="BN137" s="11">
        <f t="shared" si="312"/>
        <v>0</v>
      </c>
      <c r="BO137" s="11">
        <f t="shared" si="312"/>
        <v>0</v>
      </c>
      <c r="BP137" s="11">
        <f t="shared" si="312"/>
        <v>0</v>
      </c>
      <c r="BQ137" s="11">
        <f t="shared" si="312"/>
        <v>0</v>
      </c>
      <c r="BR137" s="11">
        <f t="shared" si="312"/>
        <v>0</v>
      </c>
      <c r="BS137" s="11">
        <f t="shared" si="312"/>
        <v>0</v>
      </c>
      <c r="BT137" s="11">
        <f t="shared" si="312"/>
        <v>0</v>
      </c>
      <c r="BU137" s="11">
        <f t="shared" si="312"/>
        <v>0</v>
      </c>
      <c r="BV137" s="11">
        <f t="shared" si="312"/>
        <v>0</v>
      </c>
      <c r="BW137" s="11">
        <f t="shared" si="312"/>
        <v>0</v>
      </c>
      <c r="BX137" s="11">
        <f t="shared" ref="BX137:CX137" si="313">SUM(BX138)</f>
        <v>0</v>
      </c>
      <c r="BY137" s="11">
        <f t="shared" si="313"/>
        <v>0</v>
      </c>
      <c r="BZ137" s="11">
        <f t="shared" si="313"/>
        <v>0</v>
      </c>
      <c r="CA137" s="11">
        <f t="shared" si="313"/>
        <v>0</v>
      </c>
      <c r="CB137" s="11">
        <f t="shared" si="313"/>
        <v>0</v>
      </c>
      <c r="CC137" s="11">
        <f t="shared" si="313"/>
        <v>0</v>
      </c>
      <c r="CD137" s="11">
        <f t="shared" si="313"/>
        <v>0</v>
      </c>
      <c r="CE137" s="11">
        <f t="shared" si="313"/>
        <v>0</v>
      </c>
      <c r="CF137" s="11">
        <f t="shared" si="313"/>
        <v>0</v>
      </c>
      <c r="CG137" s="11">
        <f t="shared" si="313"/>
        <v>0</v>
      </c>
      <c r="CH137" s="11">
        <f t="shared" si="313"/>
        <v>0</v>
      </c>
      <c r="CI137" s="11">
        <f t="shared" si="313"/>
        <v>0</v>
      </c>
      <c r="CJ137" s="11">
        <f t="shared" si="313"/>
        <v>0</v>
      </c>
      <c r="CK137" s="11">
        <f t="shared" si="313"/>
        <v>0</v>
      </c>
      <c r="CL137" s="11">
        <f t="shared" si="313"/>
        <v>0</v>
      </c>
      <c r="CM137" s="11">
        <f t="shared" si="313"/>
        <v>0</v>
      </c>
      <c r="CN137" s="11">
        <f t="shared" si="313"/>
        <v>0</v>
      </c>
      <c r="CO137" s="11">
        <f t="shared" si="313"/>
        <v>0</v>
      </c>
      <c r="CP137" s="11"/>
      <c r="CQ137" s="11">
        <f t="shared" si="313"/>
        <v>0</v>
      </c>
      <c r="CR137" s="11">
        <f t="shared" si="313"/>
        <v>0</v>
      </c>
      <c r="CS137" s="11">
        <f t="shared" si="313"/>
        <v>0</v>
      </c>
      <c r="CT137" s="11">
        <f t="shared" si="313"/>
        <v>0</v>
      </c>
      <c r="CU137" s="11">
        <f t="shared" si="313"/>
        <v>0</v>
      </c>
      <c r="CV137" s="11">
        <f t="shared" si="313"/>
        <v>0</v>
      </c>
      <c r="CW137" s="11">
        <f t="shared" si="313"/>
        <v>0</v>
      </c>
      <c r="CX137" s="12">
        <f t="shared" si="313"/>
        <v>0</v>
      </c>
    </row>
    <row r="138" spans="1:102" ht="31.5" x14ac:dyDescent="0.25">
      <c r="A138" s="13"/>
      <c r="B138" s="14" t="s">
        <v>1</v>
      </c>
      <c r="C138" s="14" t="s">
        <v>88</v>
      </c>
      <c r="D138" s="15" t="s">
        <v>260</v>
      </c>
      <c r="E138" s="10">
        <f>SUM(F138+CC138+CU138)</f>
        <v>3615043</v>
      </c>
      <c r="F138" s="11">
        <f>SUM(G138+BC138)</f>
        <v>3615043</v>
      </c>
      <c r="G138" s="11">
        <f>SUM(H138+I138+J138+Q138+T138+U138+V138+AF138+AE138)</f>
        <v>3615043</v>
      </c>
      <c r="H138" s="11">
        <f>2698873+143940</f>
        <v>2842813</v>
      </c>
      <c r="I138" s="11">
        <f>603681+35985</f>
        <v>639666</v>
      </c>
      <c r="J138" s="11">
        <f>SUM(K138:P138)</f>
        <v>26568</v>
      </c>
      <c r="K138" s="11">
        <v>0</v>
      </c>
      <c r="L138" s="11">
        <v>0</v>
      </c>
      <c r="M138" s="11">
        <v>0</v>
      </c>
      <c r="N138" s="11">
        <v>0</v>
      </c>
      <c r="O138" s="16">
        <v>20644</v>
      </c>
      <c r="P138" s="16">
        <v>5924</v>
      </c>
      <c r="Q138" s="11">
        <f t="shared" si="99"/>
        <v>896</v>
      </c>
      <c r="R138" s="16">
        <v>896</v>
      </c>
      <c r="S138" s="11">
        <v>0</v>
      </c>
      <c r="T138" s="11">
        <v>0</v>
      </c>
      <c r="U138" s="16">
        <v>24233</v>
      </c>
      <c r="V138" s="11">
        <f>SUM(W138:AD138)</f>
        <v>80060</v>
      </c>
      <c r="W138" s="16">
        <v>806</v>
      </c>
      <c r="X138" s="16">
        <f>49831+7387</f>
        <v>57218</v>
      </c>
      <c r="Y138" s="16">
        <v>11452</v>
      </c>
      <c r="Z138" s="16">
        <v>6382</v>
      </c>
      <c r="AA138" s="16">
        <v>4202</v>
      </c>
      <c r="AB138" s="11">
        <v>0</v>
      </c>
      <c r="AC138" s="11">
        <v>0</v>
      </c>
      <c r="AD138" s="11">
        <v>0</v>
      </c>
      <c r="AE138" s="11">
        <v>0</v>
      </c>
      <c r="AF138" s="11">
        <f>SUM(AG138:BB138)</f>
        <v>807</v>
      </c>
      <c r="AG138" s="11">
        <v>0</v>
      </c>
      <c r="AH138" s="11">
        <v>0</v>
      </c>
      <c r="AI138" s="11">
        <v>0</v>
      </c>
      <c r="AJ138" s="11"/>
      <c r="AK138" s="11">
        <v>0</v>
      </c>
      <c r="AL138" s="11"/>
      <c r="AM138" s="11">
        <v>0</v>
      </c>
      <c r="AN138" s="11">
        <v>807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  <c r="AU138" s="11">
        <v>0</v>
      </c>
      <c r="AV138" s="11"/>
      <c r="AW138" s="11"/>
      <c r="AX138" s="11">
        <v>0</v>
      </c>
      <c r="AY138" s="11">
        <v>0</v>
      </c>
      <c r="AZ138" s="11">
        <v>0</v>
      </c>
      <c r="BA138" s="11">
        <v>0</v>
      </c>
      <c r="BB138" s="11">
        <v>0</v>
      </c>
      <c r="BC138" s="11">
        <f>SUM(BD138+BH138+BL138+BN138+BQ138)</f>
        <v>0</v>
      </c>
      <c r="BD138" s="11">
        <f>SUM(BE138:BG138)</f>
        <v>0</v>
      </c>
      <c r="BE138" s="11">
        <v>0</v>
      </c>
      <c r="BF138" s="11">
        <v>0</v>
      </c>
      <c r="BG138" s="11">
        <v>0</v>
      </c>
      <c r="BH138" s="11">
        <f t="shared" si="100"/>
        <v>0</v>
      </c>
      <c r="BI138" s="11">
        <v>0</v>
      </c>
      <c r="BJ138" s="11">
        <v>0</v>
      </c>
      <c r="BK138" s="11">
        <v>0</v>
      </c>
      <c r="BL138" s="11">
        <v>0</v>
      </c>
      <c r="BM138" s="11">
        <v>0</v>
      </c>
      <c r="BN138" s="11">
        <f t="shared" si="101"/>
        <v>0</v>
      </c>
      <c r="BO138" s="11">
        <v>0</v>
      </c>
      <c r="BP138" s="11">
        <v>0</v>
      </c>
      <c r="BQ138" s="11">
        <f t="shared" si="102"/>
        <v>0</v>
      </c>
      <c r="BR138" s="11">
        <v>0</v>
      </c>
      <c r="BS138" s="11">
        <v>0</v>
      </c>
      <c r="BT138" s="11">
        <v>0</v>
      </c>
      <c r="BU138" s="11">
        <v>0</v>
      </c>
      <c r="BV138" s="11">
        <v>0</v>
      </c>
      <c r="BW138" s="11">
        <v>0</v>
      </c>
      <c r="BX138" s="11">
        <v>0</v>
      </c>
      <c r="BY138" s="11">
        <v>0</v>
      </c>
      <c r="BZ138" s="11">
        <v>0</v>
      </c>
      <c r="CA138" s="11">
        <v>0</v>
      </c>
      <c r="CB138" s="11">
        <v>0</v>
      </c>
      <c r="CC138" s="11">
        <f>SUM(CD138+CT138)</f>
        <v>0</v>
      </c>
      <c r="CD138" s="11">
        <f>SUM(CE138+CH138+CM138)</f>
        <v>0</v>
      </c>
      <c r="CE138" s="11">
        <f t="shared" si="103"/>
        <v>0</v>
      </c>
      <c r="CF138" s="11">
        <v>0</v>
      </c>
      <c r="CG138" s="11"/>
      <c r="CH138" s="11">
        <f>SUM(CI138:CL138)</f>
        <v>0</v>
      </c>
      <c r="CI138" s="11">
        <v>0</v>
      </c>
      <c r="CJ138" s="11">
        <v>0</v>
      </c>
      <c r="CK138" s="11">
        <v>0</v>
      </c>
      <c r="CL138" s="11">
        <v>0</v>
      </c>
      <c r="CM138" s="11">
        <f>SUM(CN138:CQ138)</f>
        <v>0</v>
      </c>
      <c r="CN138" s="11">
        <v>0</v>
      </c>
      <c r="CO138" s="11">
        <v>0</v>
      </c>
      <c r="CP138" s="11"/>
      <c r="CQ138" s="11">
        <v>0</v>
      </c>
      <c r="CR138" s="11">
        <v>0</v>
      </c>
      <c r="CS138" s="11">
        <v>0</v>
      </c>
      <c r="CT138" s="11">
        <v>0</v>
      </c>
      <c r="CU138" s="11">
        <f t="shared" si="104"/>
        <v>0</v>
      </c>
      <c r="CV138" s="11">
        <f t="shared" si="105"/>
        <v>0</v>
      </c>
      <c r="CW138" s="11">
        <v>0</v>
      </c>
      <c r="CX138" s="12">
        <v>0</v>
      </c>
    </row>
    <row r="139" spans="1:102" ht="31.5" x14ac:dyDescent="0.25">
      <c r="A139" s="7"/>
      <c r="B139" s="8" t="s">
        <v>261</v>
      </c>
      <c r="C139" s="8" t="s">
        <v>1</v>
      </c>
      <c r="D139" s="9" t="s">
        <v>262</v>
      </c>
      <c r="E139" s="10">
        <f t="shared" ref="E139:AL139" si="314">SUM(E140)</f>
        <v>9575166</v>
      </c>
      <c r="F139" s="11">
        <f t="shared" si="314"/>
        <v>9495111</v>
      </c>
      <c r="G139" s="11">
        <f t="shared" si="314"/>
        <v>7643559</v>
      </c>
      <c r="H139" s="11">
        <f t="shared" si="314"/>
        <v>3910924</v>
      </c>
      <c r="I139" s="11">
        <f t="shared" si="314"/>
        <v>918157</v>
      </c>
      <c r="J139" s="11">
        <f t="shared" si="314"/>
        <v>2205830</v>
      </c>
      <c r="K139" s="11">
        <f t="shared" si="314"/>
        <v>25931</v>
      </c>
      <c r="L139" s="11">
        <f t="shared" si="314"/>
        <v>235765</v>
      </c>
      <c r="M139" s="11">
        <f t="shared" si="314"/>
        <v>1345763</v>
      </c>
      <c r="N139" s="11">
        <f t="shared" si="314"/>
        <v>316837</v>
      </c>
      <c r="O139" s="11">
        <f t="shared" si="314"/>
        <v>179995</v>
      </c>
      <c r="P139" s="11">
        <f t="shared" si="314"/>
        <v>101539</v>
      </c>
      <c r="Q139" s="11">
        <f t="shared" si="314"/>
        <v>0</v>
      </c>
      <c r="R139" s="11">
        <f t="shared" si="314"/>
        <v>0</v>
      </c>
      <c r="S139" s="11">
        <f t="shared" si="314"/>
        <v>0</v>
      </c>
      <c r="T139" s="11">
        <f t="shared" si="314"/>
        <v>0</v>
      </c>
      <c r="U139" s="11">
        <f t="shared" si="314"/>
        <v>29705</v>
      </c>
      <c r="V139" s="11">
        <f t="shared" si="314"/>
        <v>348362</v>
      </c>
      <c r="W139" s="11">
        <f t="shared" si="314"/>
        <v>34104</v>
      </c>
      <c r="X139" s="11">
        <f t="shared" si="314"/>
        <v>155126</v>
      </c>
      <c r="Y139" s="11">
        <f t="shared" si="314"/>
        <v>102623</v>
      </c>
      <c r="Z139" s="11">
        <f t="shared" si="314"/>
        <v>46448</v>
      </c>
      <c r="AA139" s="11">
        <f t="shared" si="314"/>
        <v>3613</v>
      </c>
      <c r="AB139" s="11">
        <f t="shared" si="314"/>
        <v>0</v>
      </c>
      <c r="AC139" s="11">
        <f t="shared" si="314"/>
        <v>0</v>
      </c>
      <c r="AD139" s="11">
        <f t="shared" si="314"/>
        <v>6448</v>
      </c>
      <c r="AE139" s="11">
        <f t="shared" si="314"/>
        <v>0</v>
      </c>
      <c r="AF139" s="11">
        <f t="shared" si="314"/>
        <v>230581</v>
      </c>
      <c r="AG139" s="11">
        <f t="shared" si="314"/>
        <v>0</v>
      </c>
      <c r="AH139" s="11">
        <f t="shared" si="314"/>
        <v>0</v>
      </c>
      <c r="AI139" s="11">
        <f t="shared" si="314"/>
        <v>660</v>
      </c>
      <c r="AJ139" s="11">
        <f t="shared" si="314"/>
        <v>43560</v>
      </c>
      <c r="AK139" s="11">
        <f t="shared" si="314"/>
        <v>2145</v>
      </c>
      <c r="AL139" s="11">
        <f t="shared" si="314"/>
        <v>3755</v>
      </c>
      <c r="AM139" s="11">
        <f t="shared" ref="AM139:CX139" si="315">SUM(AM140)</f>
        <v>0</v>
      </c>
      <c r="AN139" s="11">
        <f t="shared" si="315"/>
        <v>37129</v>
      </c>
      <c r="AO139" s="11">
        <f t="shared" si="315"/>
        <v>0</v>
      </c>
      <c r="AP139" s="11">
        <f t="shared" si="315"/>
        <v>0</v>
      </c>
      <c r="AQ139" s="11">
        <f t="shared" si="315"/>
        <v>109</v>
      </c>
      <c r="AR139" s="11">
        <f t="shared" si="315"/>
        <v>0</v>
      </c>
      <c r="AS139" s="11">
        <f t="shared" si="315"/>
        <v>0</v>
      </c>
      <c r="AT139" s="11">
        <f t="shared" si="315"/>
        <v>140353</v>
      </c>
      <c r="AU139" s="11">
        <f t="shared" si="315"/>
        <v>0</v>
      </c>
      <c r="AV139" s="11"/>
      <c r="AW139" s="11"/>
      <c r="AX139" s="11">
        <f t="shared" si="315"/>
        <v>0</v>
      </c>
      <c r="AY139" s="11">
        <f t="shared" si="315"/>
        <v>0</v>
      </c>
      <c r="AZ139" s="11">
        <f t="shared" si="315"/>
        <v>0</v>
      </c>
      <c r="BA139" s="11">
        <f t="shared" si="315"/>
        <v>0</v>
      </c>
      <c r="BB139" s="11">
        <f t="shared" si="315"/>
        <v>2870</v>
      </c>
      <c r="BC139" s="11">
        <f t="shared" si="315"/>
        <v>1851552</v>
      </c>
      <c r="BD139" s="11">
        <f t="shared" si="315"/>
        <v>0</v>
      </c>
      <c r="BE139" s="11">
        <f t="shared" si="315"/>
        <v>0</v>
      </c>
      <c r="BF139" s="11">
        <f t="shared" si="315"/>
        <v>0</v>
      </c>
      <c r="BG139" s="11">
        <f t="shared" si="315"/>
        <v>0</v>
      </c>
      <c r="BH139" s="11">
        <f t="shared" si="315"/>
        <v>0</v>
      </c>
      <c r="BI139" s="11">
        <f t="shared" si="315"/>
        <v>0</v>
      </c>
      <c r="BJ139" s="11">
        <f t="shared" si="315"/>
        <v>0</v>
      </c>
      <c r="BK139" s="11">
        <f t="shared" si="315"/>
        <v>0</v>
      </c>
      <c r="BL139" s="11">
        <f t="shared" si="315"/>
        <v>0</v>
      </c>
      <c r="BM139" s="11">
        <f t="shared" si="315"/>
        <v>0</v>
      </c>
      <c r="BN139" s="11">
        <f t="shared" si="315"/>
        <v>0</v>
      </c>
      <c r="BO139" s="11">
        <f t="shared" si="315"/>
        <v>0</v>
      </c>
      <c r="BP139" s="11">
        <f t="shared" si="315"/>
        <v>0</v>
      </c>
      <c r="BQ139" s="11">
        <f t="shared" si="315"/>
        <v>1851552</v>
      </c>
      <c r="BR139" s="11">
        <f t="shared" si="315"/>
        <v>0</v>
      </c>
      <c r="BS139" s="11">
        <f t="shared" si="315"/>
        <v>0</v>
      </c>
      <c r="BT139" s="11">
        <f t="shared" si="315"/>
        <v>0</v>
      </c>
      <c r="BU139" s="11">
        <f t="shared" si="315"/>
        <v>0</v>
      </c>
      <c r="BV139" s="11">
        <f t="shared" si="315"/>
        <v>0</v>
      </c>
      <c r="BW139" s="11">
        <f t="shared" si="315"/>
        <v>33525</v>
      </c>
      <c r="BX139" s="11">
        <f t="shared" si="315"/>
        <v>0</v>
      </c>
      <c r="BY139" s="11">
        <f t="shared" si="315"/>
        <v>0</v>
      </c>
      <c r="BZ139" s="11">
        <f t="shared" si="315"/>
        <v>0</v>
      </c>
      <c r="CA139" s="11">
        <f t="shared" si="315"/>
        <v>0</v>
      </c>
      <c r="CB139" s="11">
        <f t="shared" si="315"/>
        <v>1818027</v>
      </c>
      <c r="CC139" s="11">
        <f t="shared" si="315"/>
        <v>80055</v>
      </c>
      <c r="CD139" s="11">
        <f t="shared" si="315"/>
        <v>80055</v>
      </c>
      <c r="CE139" s="11">
        <f t="shared" si="315"/>
        <v>62839</v>
      </c>
      <c r="CF139" s="11">
        <f t="shared" si="315"/>
        <v>0</v>
      </c>
      <c r="CG139" s="11">
        <f t="shared" si="315"/>
        <v>62839</v>
      </c>
      <c r="CH139" s="11">
        <f t="shared" si="315"/>
        <v>0</v>
      </c>
      <c r="CI139" s="11">
        <f t="shared" si="315"/>
        <v>0</v>
      </c>
      <c r="CJ139" s="11">
        <f t="shared" si="315"/>
        <v>0</v>
      </c>
      <c r="CK139" s="11">
        <f t="shared" si="315"/>
        <v>0</v>
      </c>
      <c r="CL139" s="11">
        <f t="shared" si="315"/>
        <v>0</v>
      </c>
      <c r="CM139" s="11">
        <f t="shared" si="315"/>
        <v>17216</v>
      </c>
      <c r="CN139" s="11">
        <f t="shared" si="315"/>
        <v>17216</v>
      </c>
      <c r="CO139" s="11">
        <f t="shared" si="315"/>
        <v>0</v>
      </c>
      <c r="CP139" s="11"/>
      <c r="CQ139" s="11">
        <f t="shared" si="315"/>
        <v>0</v>
      </c>
      <c r="CR139" s="11">
        <f t="shared" si="315"/>
        <v>0</v>
      </c>
      <c r="CS139" s="11">
        <f t="shared" si="315"/>
        <v>0</v>
      </c>
      <c r="CT139" s="11">
        <f t="shared" si="315"/>
        <v>0</v>
      </c>
      <c r="CU139" s="11">
        <f t="shared" si="315"/>
        <v>0</v>
      </c>
      <c r="CV139" s="11">
        <f t="shared" si="315"/>
        <v>0</v>
      </c>
      <c r="CW139" s="11">
        <f t="shared" si="315"/>
        <v>0</v>
      </c>
      <c r="CX139" s="12">
        <f t="shared" si="315"/>
        <v>0</v>
      </c>
    </row>
    <row r="140" spans="1:102" ht="15.75" x14ac:dyDescent="0.25">
      <c r="A140" s="13"/>
      <c r="B140" s="14" t="s">
        <v>1</v>
      </c>
      <c r="C140" s="14" t="s">
        <v>84</v>
      </c>
      <c r="D140" s="15" t="s">
        <v>263</v>
      </c>
      <c r="E140" s="10">
        <f>SUM(F140+CC140+CU140)</f>
        <v>9575166</v>
      </c>
      <c r="F140" s="11">
        <f>SUM(G140+BC140)</f>
        <v>9495111</v>
      </c>
      <c r="G140" s="11">
        <f>SUM(H140+I140+J140+Q140+T140+U140+V140+AF140+AE140)</f>
        <v>7643559</v>
      </c>
      <c r="H140" s="16">
        <f>3712903+198021</f>
        <v>3910924</v>
      </c>
      <c r="I140" s="16">
        <f>868652+49505</f>
        <v>918157</v>
      </c>
      <c r="J140" s="11">
        <f>SUM(K140:P140)</f>
        <v>2205830</v>
      </c>
      <c r="K140" s="16">
        <f>5664+20267</f>
        <v>25931</v>
      </c>
      <c r="L140" s="16">
        <v>235765</v>
      </c>
      <c r="M140" s="16">
        <f>1186523+159240</f>
        <v>1345763</v>
      </c>
      <c r="N140" s="16">
        <v>316837</v>
      </c>
      <c r="O140" s="16">
        <v>179995</v>
      </c>
      <c r="P140" s="16">
        <f>43343+58196</f>
        <v>101539</v>
      </c>
      <c r="Q140" s="11">
        <f t="shared" si="99"/>
        <v>0</v>
      </c>
      <c r="R140" s="11">
        <v>0</v>
      </c>
      <c r="S140" s="11">
        <v>0</v>
      </c>
      <c r="T140" s="11">
        <v>0</v>
      </c>
      <c r="U140" s="16">
        <v>29705</v>
      </c>
      <c r="V140" s="11">
        <f>SUM(W140:AD140)</f>
        <v>348362</v>
      </c>
      <c r="W140" s="16">
        <v>34104</v>
      </c>
      <c r="X140" s="16">
        <v>155126</v>
      </c>
      <c r="Y140" s="16">
        <v>102623</v>
      </c>
      <c r="Z140" s="16">
        <v>46448</v>
      </c>
      <c r="AA140" s="16">
        <v>3613</v>
      </c>
      <c r="AB140" s="16"/>
      <c r="AC140" s="16"/>
      <c r="AD140" s="16">
        <f>5600+848</f>
        <v>6448</v>
      </c>
      <c r="AE140" s="11"/>
      <c r="AF140" s="11">
        <f>SUM(AG140:BB140)</f>
        <v>230581</v>
      </c>
      <c r="AG140" s="11">
        <v>0</v>
      </c>
      <c r="AH140" s="11"/>
      <c r="AI140" s="16">
        <v>660</v>
      </c>
      <c r="AJ140" s="16">
        <v>43560</v>
      </c>
      <c r="AK140" s="16">
        <v>2145</v>
      </c>
      <c r="AL140" s="16">
        <v>3755</v>
      </c>
      <c r="AM140" s="11">
        <v>0</v>
      </c>
      <c r="AN140" s="11">
        <v>37129</v>
      </c>
      <c r="AO140" s="11">
        <v>0</v>
      </c>
      <c r="AP140" s="11">
        <v>0</v>
      </c>
      <c r="AQ140" s="11">
        <v>109</v>
      </c>
      <c r="AR140" s="11">
        <v>0</v>
      </c>
      <c r="AS140" s="11">
        <v>0</v>
      </c>
      <c r="AT140" s="11">
        <v>140353</v>
      </c>
      <c r="AU140" s="11">
        <v>0</v>
      </c>
      <c r="AV140" s="11"/>
      <c r="AW140" s="11"/>
      <c r="AX140" s="11">
        <v>0</v>
      </c>
      <c r="AY140" s="11">
        <v>0</v>
      </c>
      <c r="AZ140" s="11">
        <v>0</v>
      </c>
      <c r="BA140" s="11"/>
      <c r="BB140" s="11">
        <v>2870</v>
      </c>
      <c r="BC140" s="11">
        <f>SUM(BD140+BH140+BL140+BN140+BQ140)</f>
        <v>1851552</v>
      </c>
      <c r="BD140" s="11">
        <f>SUM(BE140:BG140)</f>
        <v>0</v>
      </c>
      <c r="BE140" s="11">
        <v>0</v>
      </c>
      <c r="BF140" s="11">
        <v>0</v>
      </c>
      <c r="BG140" s="11">
        <v>0</v>
      </c>
      <c r="BH140" s="11">
        <f t="shared" si="100"/>
        <v>0</v>
      </c>
      <c r="BI140" s="11">
        <v>0</v>
      </c>
      <c r="BJ140" s="11">
        <v>0</v>
      </c>
      <c r="BK140" s="11">
        <v>0</v>
      </c>
      <c r="BL140" s="11">
        <v>0</v>
      </c>
      <c r="BM140" s="11">
        <v>0</v>
      </c>
      <c r="BN140" s="11">
        <f t="shared" si="101"/>
        <v>0</v>
      </c>
      <c r="BO140" s="11">
        <v>0</v>
      </c>
      <c r="BP140" s="11">
        <v>0</v>
      </c>
      <c r="BQ140" s="11">
        <f t="shared" si="102"/>
        <v>1851552</v>
      </c>
      <c r="BR140" s="11">
        <v>0</v>
      </c>
      <c r="BS140" s="11">
        <v>0</v>
      </c>
      <c r="BT140" s="11">
        <v>0</v>
      </c>
      <c r="BU140" s="11">
        <v>0</v>
      </c>
      <c r="BV140" s="11">
        <v>0</v>
      </c>
      <c r="BW140" s="11">
        <v>33525</v>
      </c>
      <c r="BX140" s="11">
        <v>0</v>
      </c>
      <c r="BY140" s="11">
        <v>0</v>
      </c>
      <c r="BZ140" s="11">
        <v>0</v>
      </c>
      <c r="CA140" s="11">
        <v>0</v>
      </c>
      <c r="CB140" s="11">
        <f>2295714-477687</f>
        <v>1818027</v>
      </c>
      <c r="CC140" s="11">
        <f>SUM(CD140+CT140)</f>
        <v>80055</v>
      </c>
      <c r="CD140" s="11">
        <f>SUM(CE140+CH140+CM140)</f>
        <v>80055</v>
      </c>
      <c r="CE140" s="11">
        <f t="shared" si="103"/>
        <v>62839</v>
      </c>
      <c r="CF140" s="11">
        <v>0</v>
      </c>
      <c r="CG140" s="11">
        <v>62839</v>
      </c>
      <c r="CH140" s="11">
        <f>SUM(CI140:CL140)</f>
        <v>0</v>
      </c>
      <c r="CI140" s="11">
        <v>0</v>
      </c>
      <c r="CJ140" s="11">
        <v>0</v>
      </c>
      <c r="CK140" s="11">
        <v>0</v>
      </c>
      <c r="CL140" s="11">
        <v>0</v>
      </c>
      <c r="CM140" s="11">
        <f>SUM(CN140:CQ140)</f>
        <v>17216</v>
      </c>
      <c r="CN140" s="11">
        <v>17216</v>
      </c>
      <c r="CO140" s="11">
        <v>0</v>
      </c>
      <c r="CP140" s="11"/>
      <c r="CQ140" s="11">
        <v>0</v>
      </c>
      <c r="CR140" s="11"/>
      <c r="CS140" s="11"/>
      <c r="CT140" s="11">
        <v>0</v>
      </c>
      <c r="CU140" s="11">
        <f t="shared" si="104"/>
        <v>0</v>
      </c>
      <c r="CV140" s="11">
        <f t="shared" si="105"/>
        <v>0</v>
      </c>
      <c r="CW140" s="11">
        <v>0</v>
      </c>
      <c r="CX140" s="12">
        <v>0</v>
      </c>
    </row>
    <row r="141" spans="1:102" ht="31.5" x14ac:dyDescent="0.25">
      <c r="A141" s="7"/>
      <c r="B141" s="8" t="s">
        <v>264</v>
      </c>
      <c r="C141" s="8" t="s">
        <v>1</v>
      </c>
      <c r="D141" s="9" t="s">
        <v>265</v>
      </c>
      <c r="E141" s="10">
        <f t="shared" ref="E141:BT141" si="316">SUM(E142:E144)</f>
        <v>1833819</v>
      </c>
      <c r="F141" s="11">
        <f t="shared" si="316"/>
        <v>1833819</v>
      </c>
      <c r="G141" s="11">
        <f t="shared" si="316"/>
        <v>1783379</v>
      </c>
      <c r="H141" s="11">
        <f t="shared" si="316"/>
        <v>1101953</v>
      </c>
      <c r="I141" s="11">
        <f t="shared" si="316"/>
        <v>263180</v>
      </c>
      <c r="J141" s="11">
        <f t="shared" si="316"/>
        <v>26415</v>
      </c>
      <c r="K141" s="11">
        <f t="shared" si="316"/>
        <v>0</v>
      </c>
      <c r="L141" s="11">
        <f t="shared" si="316"/>
        <v>0</v>
      </c>
      <c r="M141" s="11">
        <f t="shared" si="316"/>
        <v>0</v>
      </c>
      <c r="N141" s="11">
        <f t="shared" si="316"/>
        <v>0</v>
      </c>
      <c r="O141" s="11">
        <f t="shared" si="316"/>
        <v>0</v>
      </c>
      <c r="P141" s="11">
        <f t="shared" si="316"/>
        <v>26415</v>
      </c>
      <c r="Q141" s="11">
        <f t="shared" si="316"/>
        <v>0</v>
      </c>
      <c r="R141" s="11">
        <f t="shared" si="316"/>
        <v>0</v>
      </c>
      <c r="S141" s="11">
        <f t="shared" si="316"/>
        <v>0</v>
      </c>
      <c r="T141" s="11">
        <f t="shared" si="316"/>
        <v>0</v>
      </c>
      <c r="U141" s="11">
        <f t="shared" si="316"/>
        <v>7628</v>
      </c>
      <c r="V141" s="11">
        <f t="shared" si="316"/>
        <v>0</v>
      </c>
      <c r="W141" s="11">
        <f t="shared" si="316"/>
        <v>0</v>
      </c>
      <c r="X141" s="11">
        <f t="shared" si="316"/>
        <v>0</v>
      </c>
      <c r="Y141" s="11">
        <f t="shared" si="316"/>
        <v>0</v>
      </c>
      <c r="Z141" s="11">
        <f t="shared" si="316"/>
        <v>0</v>
      </c>
      <c r="AA141" s="11">
        <f t="shared" si="316"/>
        <v>0</v>
      </c>
      <c r="AB141" s="11">
        <f t="shared" si="316"/>
        <v>0</v>
      </c>
      <c r="AC141" s="11">
        <f t="shared" si="316"/>
        <v>0</v>
      </c>
      <c r="AD141" s="11">
        <f t="shared" si="316"/>
        <v>0</v>
      </c>
      <c r="AE141" s="11">
        <f t="shared" si="316"/>
        <v>0</v>
      </c>
      <c r="AF141" s="11">
        <f t="shared" si="316"/>
        <v>384203</v>
      </c>
      <c r="AG141" s="11">
        <f t="shared" si="316"/>
        <v>0</v>
      </c>
      <c r="AH141" s="11">
        <f t="shared" si="316"/>
        <v>0</v>
      </c>
      <c r="AI141" s="11">
        <f t="shared" si="316"/>
        <v>0</v>
      </c>
      <c r="AJ141" s="11">
        <f t="shared" si="316"/>
        <v>12699</v>
      </c>
      <c r="AK141" s="11">
        <f t="shared" si="316"/>
        <v>0</v>
      </c>
      <c r="AL141" s="11">
        <f t="shared" si="316"/>
        <v>0</v>
      </c>
      <c r="AM141" s="11">
        <f t="shared" si="316"/>
        <v>0</v>
      </c>
      <c r="AN141" s="11">
        <f t="shared" si="316"/>
        <v>0</v>
      </c>
      <c r="AO141" s="11">
        <f t="shared" si="316"/>
        <v>134455</v>
      </c>
      <c r="AP141" s="11">
        <f t="shared" si="316"/>
        <v>0</v>
      </c>
      <c r="AQ141" s="11">
        <f t="shared" si="316"/>
        <v>0</v>
      </c>
      <c r="AR141" s="11">
        <f t="shared" ref="AR141" si="317">SUM(AR142:AR144)</f>
        <v>0</v>
      </c>
      <c r="AS141" s="11">
        <f t="shared" si="316"/>
        <v>0</v>
      </c>
      <c r="AT141" s="11">
        <f t="shared" si="316"/>
        <v>0</v>
      </c>
      <c r="AU141" s="11">
        <f t="shared" si="316"/>
        <v>0</v>
      </c>
      <c r="AV141" s="11"/>
      <c r="AW141" s="11"/>
      <c r="AX141" s="11">
        <f t="shared" si="316"/>
        <v>0</v>
      </c>
      <c r="AY141" s="11">
        <f t="shared" si="316"/>
        <v>0</v>
      </c>
      <c r="AZ141" s="11">
        <f t="shared" si="316"/>
        <v>0</v>
      </c>
      <c r="BA141" s="11">
        <f t="shared" si="316"/>
        <v>0</v>
      </c>
      <c r="BB141" s="11">
        <f t="shared" si="316"/>
        <v>237049</v>
      </c>
      <c r="BC141" s="11">
        <f t="shared" si="316"/>
        <v>50440</v>
      </c>
      <c r="BD141" s="11">
        <f t="shared" si="316"/>
        <v>0</v>
      </c>
      <c r="BE141" s="11">
        <f t="shared" si="316"/>
        <v>0</v>
      </c>
      <c r="BF141" s="11">
        <f t="shared" si="316"/>
        <v>0</v>
      </c>
      <c r="BG141" s="11">
        <f t="shared" si="316"/>
        <v>0</v>
      </c>
      <c r="BH141" s="11">
        <f t="shared" si="316"/>
        <v>0</v>
      </c>
      <c r="BI141" s="11">
        <f t="shared" si="316"/>
        <v>0</v>
      </c>
      <c r="BJ141" s="11">
        <f t="shared" si="316"/>
        <v>0</v>
      </c>
      <c r="BK141" s="11">
        <f t="shared" si="316"/>
        <v>0</v>
      </c>
      <c r="BL141" s="11">
        <f t="shared" si="316"/>
        <v>0</v>
      </c>
      <c r="BM141" s="11">
        <f t="shared" si="316"/>
        <v>0</v>
      </c>
      <c r="BN141" s="11">
        <f t="shared" si="316"/>
        <v>0</v>
      </c>
      <c r="BO141" s="11">
        <f t="shared" si="316"/>
        <v>0</v>
      </c>
      <c r="BP141" s="11">
        <f t="shared" ref="BP141" si="318">SUM(BP142:BP144)</f>
        <v>0</v>
      </c>
      <c r="BQ141" s="11">
        <f t="shared" si="316"/>
        <v>50440</v>
      </c>
      <c r="BR141" s="11">
        <f t="shared" si="316"/>
        <v>0</v>
      </c>
      <c r="BS141" s="11">
        <f t="shared" si="316"/>
        <v>0</v>
      </c>
      <c r="BT141" s="11">
        <f t="shared" si="316"/>
        <v>50440</v>
      </c>
      <c r="BU141" s="11">
        <f t="shared" ref="BU141:CX141" si="319">SUM(BU142:BU144)</f>
        <v>0</v>
      </c>
      <c r="BV141" s="11">
        <f t="shared" si="319"/>
        <v>0</v>
      </c>
      <c r="BW141" s="11">
        <f t="shared" si="319"/>
        <v>0</v>
      </c>
      <c r="BX141" s="11">
        <f t="shared" si="319"/>
        <v>0</v>
      </c>
      <c r="BY141" s="11">
        <f t="shared" si="319"/>
        <v>0</v>
      </c>
      <c r="BZ141" s="11">
        <f t="shared" si="319"/>
        <v>0</v>
      </c>
      <c r="CA141" s="11">
        <f t="shared" si="319"/>
        <v>0</v>
      </c>
      <c r="CB141" s="11">
        <f t="shared" si="319"/>
        <v>0</v>
      </c>
      <c r="CC141" s="11">
        <f t="shared" si="319"/>
        <v>0</v>
      </c>
      <c r="CD141" s="11">
        <f t="shared" si="319"/>
        <v>0</v>
      </c>
      <c r="CE141" s="11">
        <f t="shared" si="319"/>
        <v>0</v>
      </c>
      <c r="CF141" s="11">
        <f t="shared" si="319"/>
        <v>0</v>
      </c>
      <c r="CG141" s="11">
        <f t="shared" si="319"/>
        <v>0</v>
      </c>
      <c r="CH141" s="11">
        <f t="shared" si="319"/>
        <v>0</v>
      </c>
      <c r="CI141" s="11">
        <f t="shared" si="319"/>
        <v>0</v>
      </c>
      <c r="CJ141" s="11">
        <f t="shared" si="319"/>
        <v>0</v>
      </c>
      <c r="CK141" s="11">
        <f t="shared" si="319"/>
        <v>0</v>
      </c>
      <c r="CL141" s="11">
        <f t="shared" si="319"/>
        <v>0</v>
      </c>
      <c r="CM141" s="11">
        <f t="shared" si="319"/>
        <v>0</v>
      </c>
      <c r="CN141" s="11">
        <f t="shared" si="319"/>
        <v>0</v>
      </c>
      <c r="CO141" s="11">
        <f t="shared" si="319"/>
        <v>0</v>
      </c>
      <c r="CP141" s="11"/>
      <c r="CQ141" s="11">
        <f t="shared" si="319"/>
        <v>0</v>
      </c>
      <c r="CR141" s="11">
        <f t="shared" si="319"/>
        <v>0</v>
      </c>
      <c r="CS141" s="11">
        <f t="shared" si="319"/>
        <v>0</v>
      </c>
      <c r="CT141" s="11">
        <f t="shared" si="319"/>
        <v>0</v>
      </c>
      <c r="CU141" s="11">
        <f t="shared" si="319"/>
        <v>0</v>
      </c>
      <c r="CV141" s="11">
        <f t="shared" si="319"/>
        <v>0</v>
      </c>
      <c r="CW141" s="11">
        <f t="shared" si="319"/>
        <v>0</v>
      </c>
      <c r="CX141" s="12">
        <f t="shared" si="319"/>
        <v>0</v>
      </c>
    </row>
    <row r="142" spans="1:102" ht="31.5" x14ac:dyDescent="0.25">
      <c r="A142" s="13"/>
      <c r="B142" s="14" t="s">
        <v>1</v>
      </c>
      <c r="C142" s="14" t="s">
        <v>84</v>
      </c>
      <c r="D142" s="15" t="s">
        <v>266</v>
      </c>
      <c r="E142" s="10">
        <f>SUM(F142+CC142+CU142)</f>
        <v>9468</v>
      </c>
      <c r="F142" s="11">
        <f>SUM(G142+BC142)</f>
        <v>9468</v>
      </c>
      <c r="G142" s="11">
        <f>SUM(H142+I142+J142+Q142+T142+U142+V142+AF142+AE142)</f>
        <v>9468</v>
      </c>
      <c r="H142" s="16"/>
      <c r="I142" s="16"/>
      <c r="J142" s="11">
        <f>SUM(K142:P142)</f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f t="shared" si="99"/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f t="shared" ref="V142:V144" si="320">SUM(W142:AD142)</f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f>SUM(AG142:BB142)</f>
        <v>9468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2547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  <c r="AU142" s="11">
        <v>0</v>
      </c>
      <c r="AV142" s="11"/>
      <c r="AW142" s="11"/>
      <c r="AX142" s="11">
        <v>0</v>
      </c>
      <c r="AY142" s="11">
        <v>0</v>
      </c>
      <c r="AZ142" s="11">
        <v>0</v>
      </c>
      <c r="BA142" s="11">
        <v>0</v>
      </c>
      <c r="BB142" s="16">
        <v>6921</v>
      </c>
      <c r="BC142" s="11">
        <f>SUM(BD142+BH142+BL142+BN142+BQ142)</f>
        <v>0</v>
      </c>
      <c r="BD142" s="11">
        <f>SUM(BE142:BG142)</f>
        <v>0</v>
      </c>
      <c r="BE142" s="11">
        <v>0</v>
      </c>
      <c r="BF142" s="11">
        <v>0</v>
      </c>
      <c r="BG142" s="11">
        <v>0</v>
      </c>
      <c r="BH142" s="11">
        <f t="shared" si="100"/>
        <v>0</v>
      </c>
      <c r="BI142" s="11">
        <v>0</v>
      </c>
      <c r="BJ142" s="11">
        <v>0</v>
      </c>
      <c r="BK142" s="11">
        <v>0</v>
      </c>
      <c r="BL142" s="11">
        <v>0</v>
      </c>
      <c r="BM142" s="11">
        <v>0</v>
      </c>
      <c r="BN142" s="11">
        <f t="shared" si="101"/>
        <v>0</v>
      </c>
      <c r="BO142" s="11">
        <v>0</v>
      </c>
      <c r="BP142" s="11">
        <v>0</v>
      </c>
      <c r="BQ142" s="11">
        <f t="shared" si="102"/>
        <v>0</v>
      </c>
      <c r="BR142" s="11">
        <v>0</v>
      </c>
      <c r="BS142" s="11">
        <v>0</v>
      </c>
      <c r="BT142" s="11">
        <v>0</v>
      </c>
      <c r="BU142" s="11">
        <v>0</v>
      </c>
      <c r="BV142" s="11">
        <v>0</v>
      </c>
      <c r="BW142" s="11">
        <v>0</v>
      </c>
      <c r="BX142" s="11">
        <v>0</v>
      </c>
      <c r="BY142" s="11">
        <v>0</v>
      </c>
      <c r="BZ142" s="11">
        <v>0</v>
      </c>
      <c r="CA142" s="11">
        <v>0</v>
      </c>
      <c r="CB142" s="11">
        <v>0</v>
      </c>
      <c r="CC142" s="11">
        <f>SUM(CD142+CT142)</f>
        <v>0</v>
      </c>
      <c r="CD142" s="11">
        <f>SUM(CE142+CH142+CM142)</f>
        <v>0</v>
      </c>
      <c r="CE142" s="11">
        <f t="shared" si="103"/>
        <v>0</v>
      </c>
      <c r="CF142" s="11">
        <v>0</v>
      </c>
      <c r="CG142" s="11">
        <v>0</v>
      </c>
      <c r="CH142" s="11">
        <f>SUM(CI142:CL142)</f>
        <v>0</v>
      </c>
      <c r="CI142" s="11">
        <v>0</v>
      </c>
      <c r="CJ142" s="11">
        <v>0</v>
      </c>
      <c r="CK142" s="11">
        <v>0</v>
      </c>
      <c r="CL142" s="11">
        <v>0</v>
      </c>
      <c r="CM142" s="11">
        <f>SUM(CN142:CQ142)</f>
        <v>0</v>
      </c>
      <c r="CN142" s="11">
        <v>0</v>
      </c>
      <c r="CO142" s="11">
        <v>0</v>
      </c>
      <c r="CP142" s="11"/>
      <c r="CQ142" s="11">
        <v>0</v>
      </c>
      <c r="CR142" s="11">
        <v>0</v>
      </c>
      <c r="CS142" s="11">
        <v>0</v>
      </c>
      <c r="CT142" s="11">
        <v>0</v>
      </c>
      <c r="CU142" s="11">
        <f t="shared" si="104"/>
        <v>0</v>
      </c>
      <c r="CV142" s="11">
        <f t="shared" si="105"/>
        <v>0</v>
      </c>
      <c r="CW142" s="11">
        <v>0</v>
      </c>
      <c r="CX142" s="12">
        <v>0</v>
      </c>
    </row>
    <row r="143" spans="1:102" ht="15.75" x14ac:dyDescent="0.25">
      <c r="A143" s="13"/>
      <c r="B143" s="14" t="s">
        <v>1</v>
      </c>
      <c r="C143" s="14" t="s">
        <v>88</v>
      </c>
      <c r="D143" s="15" t="s">
        <v>267</v>
      </c>
      <c r="E143" s="10">
        <f>SUM(F143+CC143+CU143)</f>
        <v>801323</v>
      </c>
      <c r="F143" s="11">
        <f>SUM(G143+BC143)</f>
        <v>801323</v>
      </c>
      <c r="G143" s="11">
        <f>SUM(H143+I143+J143+Q143+T143+U143+V143+AF143+AE143)</f>
        <v>801323</v>
      </c>
      <c r="H143" s="16">
        <f>582448+31064</f>
        <v>613512</v>
      </c>
      <c r="I143" s="16">
        <f>133303+7766</f>
        <v>141069</v>
      </c>
      <c r="J143" s="11">
        <f>SUM(K143:P143)</f>
        <v>26415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26415</v>
      </c>
      <c r="Q143" s="11">
        <f>SUM(R143:S143)</f>
        <v>0</v>
      </c>
      <c r="R143" s="11"/>
      <c r="S143" s="11">
        <v>0</v>
      </c>
      <c r="T143" s="11">
        <v>0</v>
      </c>
      <c r="U143" s="11">
        <v>7628</v>
      </c>
      <c r="V143" s="11">
        <f t="shared" si="320"/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f>SUM(AG143:BB143)</f>
        <v>12699</v>
      </c>
      <c r="AG143" s="11">
        <v>0</v>
      </c>
      <c r="AH143" s="11"/>
      <c r="AI143" s="11"/>
      <c r="AJ143" s="11">
        <f>0+12699</f>
        <v>12699</v>
      </c>
      <c r="AK143" s="11">
        <v>0</v>
      </c>
      <c r="AL143" s="11"/>
      <c r="AM143" s="11">
        <v>0</v>
      </c>
      <c r="AN143" s="11"/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  <c r="AU143" s="11">
        <v>0</v>
      </c>
      <c r="AV143" s="11"/>
      <c r="AW143" s="11"/>
      <c r="AX143" s="11">
        <v>0</v>
      </c>
      <c r="AY143" s="11">
        <v>0</v>
      </c>
      <c r="AZ143" s="11">
        <v>0</v>
      </c>
      <c r="BA143" s="11">
        <v>0</v>
      </c>
      <c r="BB143" s="16">
        <f>12699-12699</f>
        <v>0</v>
      </c>
      <c r="BC143" s="11">
        <f>SUM(BD143+BH143+BL143+BN143+BQ143)</f>
        <v>0</v>
      </c>
      <c r="BD143" s="11">
        <f>SUM(BE143:BG143)</f>
        <v>0</v>
      </c>
      <c r="BE143" s="11">
        <v>0</v>
      </c>
      <c r="BF143" s="11">
        <v>0</v>
      </c>
      <c r="BG143" s="11">
        <v>0</v>
      </c>
      <c r="BH143" s="11">
        <f>SUM(BJ143:BK143)</f>
        <v>0</v>
      </c>
      <c r="BI143" s="11">
        <v>0</v>
      </c>
      <c r="BJ143" s="11">
        <v>0</v>
      </c>
      <c r="BK143" s="11">
        <v>0</v>
      </c>
      <c r="BL143" s="11">
        <v>0</v>
      </c>
      <c r="BM143" s="11">
        <v>0</v>
      </c>
      <c r="BN143" s="11">
        <f>SUM(BO143)</f>
        <v>0</v>
      </c>
      <c r="BO143" s="11">
        <v>0</v>
      </c>
      <c r="BP143" s="11">
        <v>0</v>
      </c>
      <c r="BQ143" s="11">
        <f>SUM(BR143:CB143)</f>
        <v>0</v>
      </c>
      <c r="BR143" s="11">
        <v>0</v>
      </c>
      <c r="BS143" s="11">
        <v>0</v>
      </c>
      <c r="BT143" s="11">
        <v>0</v>
      </c>
      <c r="BU143" s="11">
        <v>0</v>
      </c>
      <c r="BV143" s="11">
        <v>0</v>
      </c>
      <c r="BW143" s="11">
        <v>0</v>
      </c>
      <c r="BX143" s="11">
        <v>0</v>
      </c>
      <c r="BY143" s="11">
        <v>0</v>
      </c>
      <c r="BZ143" s="11">
        <v>0</v>
      </c>
      <c r="CA143" s="11">
        <v>0</v>
      </c>
      <c r="CB143" s="11">
        <v>0</v>
      </c>
      <c r="CC143" s="11">
        <f>SUM(CD143+CT143)</f>
        <v>0</v>
      </c>
      <c r="CD143" s="11">
        <f>SUM(CE143+CH143+CM143)</f>
        <v>0</v>
      </c>
      <c r="CE143" s="11">
        <f>SUM(CF143:CG143)</f>
        <v>0</v>
      </c>
      <c r="CF143" s="11">
        <v>0</v>
      </c>
      <c r="CG143" s="11"/>
      <c r="CH143" s="11">
        <f>SUM(CI143:CL143)</f>
        <v>0</v>
      </c>
      <c r="CI143" s="11">
        <v>0</v>
      </c>
      <c r="CJ143" s="11">
        <v>0</v>
      </c>
      <c r="CK143" s="11">
        <v>0</v>
      </c>
      <c r="CL143" s="11">
        <v>0</v>
      </c>
      <c r="CM143" s="11">
        <f>SUM(CN143:CQ143)</f>
        <v>0</v>
      </c>
      <c r="CN143" s="11">
        <v>0</v>
      </c>
      <c r="CO143" s="11">
        <v>0</v>
      </c>
      <c r="CP143" s="11"/>
      <c r="CQ143" s="11">
        <v>0</v>
      </c>
      <c r="CR143" s="11">
        <v>0</v>
      </c>
      <c r="CS143" s="11">
        <v>0</v>
      </c>
      <c r="CT143" s="11">
        <v>0</v>
      </c>
      <c r="CU143" s="11">
        <f>SUM(CV143)</f>
        <v>0</v>
      </c>
      <c r="CV143" s="11">
        <f>SUM(CW143:CX143)</f>
        <v>0</v>
      </c>
      <c r="CW143" s="11">
        <v>0</v>
      </c>
      <c r="CX143" s="12">
        <v>0</v>
      </c>
    </row>
    <row r="144" spans="1:102" ht="31.5" x14ac:dyDescent="0.25">
      <c r="A144" s="13" t="s">
        <v>1</v>
      </c>
      <c r="B144" s="14" t="s">
        <v>1</v>
      </c>
      <c r="C144" s="14" t="s">
        <v>88</v>
      </c>
      <c r="D144" s="15" t="s">
        <v>268</v>
      </c>
      <c r="E144" s="10">
        <f>SUM(F144+CC144+CU144)</f>
        <v>1023028</v>
      </c>
      <c r="F144" s="11">
        <f>SUM(G144+BC144)</f>
        <v>1023028</v>
      </c>
      <c r="G144" s="11">
        <f>SUM(H144+I144+J144+Q144+T144+U144+V144+AF144+AE144)</f>
        <v>972588</v>
      </c>
      <c r="H144" s="16">
        <f>463710+24731</f>
        <v>488441</v>
      </c>
      <c r="I144" s="16">
        <f>115928+6183</f>
        <v>122111</v>
      </c>
      <c r="J144" s="11">
        <f>SUM(K144:P144)</f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f t="shared" si="99"/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f t="shared" si="320"/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f>SUM(AG144:BB144)</f>
        <v>362036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131908</v>
      </c>
      <c r="AP144" s="11">
        <v>0</v>
      </c>
      <c r="AQ144" s="11">
        <v>0</v>
      </c>
      <c r="AR144" s="11">
        <v>0</v>
      </c>
      <c r="AS144" s="11">
        <v>0</v>
      </c>
      <c r="AT144" s="11">
        <v>0</v>
      </c>
      <c r="AU144" s="11">
        <v>0</v>
      </c>
      <c r="AV144" s="11"/>
      <c r="AW144" s="11"/>
      <c r="AX144" s="11">
        <v>0</v>
      </c>
      <c r="AY144" s="11">
        <v>0</v>
      </c>
      <c r="AZ144" s="11">
        <v>0</v>
      </c>
      <c r="BA144" s="11">
        <v>0</v>
      </c>
      <c r="BB144" s="16">
        <v>230128</v>
      </c>
      <c r="BC144" s="11">
        <f>SUM(BD144+BH144+BL144+BN144+BQ144)</f>
        <v>50440</v>
      </c>
      <c r="BD144" s="11">
        <f>SUM(BE144:BG144)</f>
        <v>0</v>
      </c>
      <c r="BE144" s="11">
        <v>0</v>
      </c>
      <c r="BF144" s="11">
        <v>0</v>
      </c>
      <c r="BG144" s="11">
        <v>0</v>
      </c>
      <c r="BH144" s="11">
        <f t="shared" si="100"/>
        <v>0</v>
      </c>
      <c r="BI144" s="11">
        <v>0</v>
      </c>
      <c r="BJ144" s="11">
        <v>0</v>
      </c>
      <c r="BK144" s="11">
        <v>0</v>
      </c>
      <c r="BL144" s="11">
        <v>0</v>
      </c>
      <c r="BM144" s="11">
        <v>0</v>
      </c>
      <c r="BN144" s="11">
        <f t="shared" si="101"/>
        <v>0</v>
      </c>
      <c r="BO144" s="11">
        <v>0</v>
      </c>
      <c r="BP144" s="11">
        <v>0</v>
      </c>
      <c r="BQ144" s="11">
        <f t="shared" si="102"/>
        <v>50440</v>
      </c>
      <c r="BR144" s="11">
        <v>0</v>
      </c>
      <c r="BS144" s="11">
        <v>0</v>
      </c>
      <c r="BT144" s="11">
        <v>50440</v>
      </c>
      <c r="BU144" s="11">
        <v>0</v>
      </c>
      <c r="BV144" s="11">
        <v>0</v>
      </c>
      <c r="BW144" s="11">
        <v>0</v>
      </c>
      <c r="BX144" s="11">
        <v>0</v>
      </c>
      <c r="BY144" s="11">
        <v>0</v>
      </c>
      <c r="BZ144" s="11">
        <v>0</v>
      </c>
      <c r="CA144" s="11">
        <v>0</v>
      </c>
      <c r="CB144" s="11">
        <v>0</v>
      </c>
      <c r="CC144" s="11">
        <f>SUM(CD144+CT144)</f>
        <v>0</v>
      </c>
      <c r="CD144" s="11">
        <f>SUM(CE144+CH144+CM144)</f>
        <v>0</v>
      </c>
      <c r="CE144" s="11">
        <f t="shared" si="103"/>
        <v>0</v>
      </c>
      <c r="CF144" s="11">
        <v>0</v>
      </c>
      <c r="CG144" s="11">
        <v>0</v>
      </c>
      <c r="CH144" s="11">
        <f>SUM(CI144:CL144)</f>
        <v>0</v>
      </c>
      <c r="CI144" s="11">
        <v>0</v>
      </c>
      <c r="CJ144" s="11">
        <v>0</v>
      </c>
      <c r="CK144" s="11">
        <v>0</v>
      </c>
      <c r="CL144" s="11">
        <v>0</v>
      </c>
      <c r="CM144" s="11">
        <f>SUM(CN144:CQ144)</f>
        <v>0</v>
      </c>
      <c r="CN144" s="11">
        <v>0</v>
      </c>
      <c r="CO144" s="11">
        <v>0</v>
      </c>
      <c r="CP144" s="11"/>
      <c r="CQ144" s="11">
        <v>0</v>
      </c>
      <c r="CR144" s="11">
        <v>0</v>
      </c>
      <c r="CS144" s="11">
        <v>0</v>
      </c>
      <c r="CT144" s="11">
        <v>0</v>
      </c>
      <c r="CU144" s="11">
        <f t="shared" si="104"/>
        <v>0</v>
      </c>
      <c r="CV144" s="11">
        <f t="shared" si="105"/>
        <v>0</v>
      </c>
      <c r="CW144" s="11">
        <v>0</v>
      </c>
      <c r="CX144" s="12">
        <v>0</v>
      </c>
    </row>
    <row r="145" spans="1:102" ht="31.5" x14ac:dyDescent="0.25">
      <c r="A145" s="18" t="s">
        <v>269</v>
      </c>
      <c r="B145" s="19" t="s">
        <v>1</v>
      </c>
      <c r="C145" s="19" t="s">
        <v>1</v>
      </c>
      <c r="D145" s="20" t="s">
        <v>270</v>
      </c>
      <c r="E145" s="21">
        <f>SUM(E146+E150+E153)</f>
        <v>24443189</v>
      </c>
      <c r="F145" s="22">
        <f t="shared" ref="F145:BW145" si="321">SUM(F146+F150+F153)</f>
        <v>24203570</v>
      </c>
      <c r="G145" s="22">
        <f t="shared" si="321"/>
        <v>23743790</v>
      </c>
      <c r="H145" s="22">
        <f t="shared" si="321"/>
        <v>16948925</v>
      </c>
      <c r="I145" s="22">
        <f t="shared" si="321"/>
        <v>3986646</v>
      </c>
      <c r="J145" s="22">
        <f t="shared" si="321"/>
        <v>351763</v>
      </c>
      <c r="K145" s="22">
        <f t="shared" si="321"/>
        <v>56590</v>
      </c>
      <c r="L145" s="22">
        <f t="shared" si="321"/>
        <v>0</v>
      </c>
      <c r="M145" s="22">
        <f t="shared" si="321"/>
        <v>0</v>
      </c>
      <c r="N145" s="22">
        <f t="shared" si="321"/>
        <v>0</v>
      </c>
      <c r="O145" s="22">
        <f t="shared" si="321"/>
        <v>165341</v>
      </c>
      <c r="P145" s="22">
        <f t="shared" si="321"/>
        <v>129832</v>
      </c>
      <c r="Q145" s="22">
        <f t="shared" si="321"/>
        <v>1741</v>
      </c>
      <c r="R145" s="22">
        <f t="shared" si="321"/>
        <v>1741</v>
      </c>
      <c r="S145" s="22">
        <f t="shared" si="321"/>
        <v>0</v>
      </c>
      <c r="T145" s="22">
        <f t="shared" si="321"/>
        <v>0</v>
      </c>
      <c r="U145" s="22">
        <f t="shared" si="321"/>
        <v>106143</v>
      </c>
      <c r="V145" s="22">
        <f t="shared" si="321"/>
        <v>707940</v>
      </c>
      <c r="W145" s="22">
        <f t="shared" si="321"/>
        <v>8272</v>
      </c>
      <c r="X145" s="22">
        <f t="shared" si="321"/>
        <v>406832</v>
      </c>
      <c r="Y145" s="22">
        <f t="shared" si="321"/>
        <v>223585</v>
      </c>
      <c r="Z145" s="22">
        <f t="shared" si="321"/>
        <v>59182</v>
      </c>
      <c r="AA145" s="22">
        <f t="shared" si="321"/>
        <v>5410</v>
      </c>
      <c r="AB145" s="22">
        <f t="shared" si="321"/>
        <v>0</v>
      </c>
      <c r="AC145" s="22">
        <f t="shared" si="321"/>
        <v>0</v>
      </c>
      <c r="AD145" s="22">
        <f t="shared" si="321"/>
        <v>4659</v>
      </c>
      <c r="AE145" s="22">
        <f t="shared" si="321"/>
        <v>0</v>
      </c>
      <c r="AF145" s="22">
        <f t="shared" si="321"/>
        <v>1640632</v>
      </c>
      <c r="AG145" s="22">
        <f t="shared" si="321"/>
        <v>0</v>
      </c>
      <c r="AH145" s="22">
        <f t="shared" si="321"/>
        <v>0</v>
      </c>
      <c r="AI145" s="22">
        <f t="shared" si="321"/>
        <v>225</v>
      </c>
      <c r="AJ145" s="22">
        <f t="shared" si="321"/>
        <v>0</v>
      </c>
      <c r="AK145" s="22">
        <f t="shared" si="321"/>
        <v>0</v>
      </c>
      <c r="AL145" s="22">
        <f t="shared" si="321"/>
        <v>329</v>
      </c>
      <c r="AM145" s="22">
        <f t="shared" si="321"/>
        <v>0</v>
      </c>
      <c r="AN145" s="22">
        <f t="shared" si="321"/>
        <v>0</v>
      </c>
      <c r="AO145" s="22">
        <f t="shared" si="321"/>
        <v>0</v>
      </c>
      <c r="AP145" s="22">
        <f t="shared" si="321"/>
        <v>0</v>
      </c>
      <c r="AQ145" s="22">
        <f t="shared" si="321"/>
        <v>0</v>
      </c>
      <c r="AR145" s="22">
        <f t="shared" ref="AR145" si="322">SUM(AR146+AR150+AR153)</f>
        <v>0</v>
      </c>
      <c r="AS145" s="22">
        <f t="shared" si="321"/>
        <v>0</v>
      </c>
      <c r="AT145" s="22">
        <f t="shared" si="321"/>
        <v>183677</v>
      </c>
      <c r="AU145" s="22">
        <f t="shared" si="321"/>
        <v>32800</v>
      </c>
      <c r="AV145" s="22"/>
      <c r="AW145" s="22"/>
      <c r="AX145" s="22">
        <f t="shared" si="321"/>
        <v>0</v>
      </c>
      <c r="AY145" s="22">
        <f t="shared" si="321"/>
        <v>0</v>
      </c>
      <c r="AZ145" s="22">
        <f t="shared" si="321"/>
        <v>0</v>
      </c>
      <c r="BA145" s="22">
        <f t="shared" si="321"/>
        <v>0</v>
      </c>
      <c r="BB145" s="22">
        <f t="shared" si="321"/>
        <v>1423601</v>
      </c>
      <c r="BC145" s="22">
        <f t="shared" si="321"/>
        <v>459780</v>
      </c>
      <c r="BD145" s="22">
        <f t="shared" si="321"/>
        <v>0</v>
      </c>
      <c r="BE145" s="22">
        <f t="shared" si="321"/>
        <v>0</v>
      </c>
      <c r="BF145" s="22">
        <f t="shared" si="321"/>
        <v>0</v>
      </c>
      <c r="BG145" s="22">
        <f t="shared" si="321"/>
        <v>0</v>
      </c>
      <c r="BH145" s="22">
        <f t="shared" si="321"/>
        <v>0</v>
      </c>
      <c r="BI145" s="22">
        <f t="shared" si="321"/>
        <v>0</v>
      </c>
      <c r="BJ145" s="22">
        <f t="shared" si="321"/>
        <v>0</v>
      </c>
      <c r="BK145" s="22">
        <f t="shared" si="321"/>
        <v>0</v>
      </c>
      <c r="BL145" s="22">
        <f t="shared" si="321"/>
        <v>0</v>
      </c>
      <c r="BM145" s="22">
        <f t="shared" si="321"/>
        <v>0</v>
      </c>
      <c r="BN145" s="22">
        <f t="shared" si="321"/>
        <v>0</v>
      </c>
      <c r="BO145" s="22">
        <f t="shared" si="321"/>
        <v>0</v>
      </c>
      <c r="BP145" s="22">
        <f t="shared" ref="BP145" si="323">SUM(BP146+BP150+BP153)</f>
        <v>0</v>
      </c>
      <c r="BQ145" s="22">
        <f t="shared" si="321"/>
        <v>459780</v>
      </c>
      <c r="BR145" s="22">
        <f t="shared" si="321"/>
        <v>0</v>
      </c>
      <c r="BS145" s="22">
        <f t="shared" si="321"/>
        <v>0</v>
      </c>
      <c r="BT145" s="22">
        <f t="shared" si="321"/>
        <v>459780</v>
      </c>
      <c r="BU145" s="22">
        <f t="shared" si="321"/>
        <v>0</v>
      </c>
      <c r="BV145" s="22">
        <f t="shared" si="321"/>
        <v>0</v>
      </c>
      <c r="BW145" s="22">
        <f t="shared" si="321"/>
        <v>0</v>
      </c>
      <c r="BX145" s="22">
        <f t="shared" ref="BX145:CX145" si="324">SUM(BX146+BX150+BX153)</f>
        <v>0</v>
      </c>
      <c r="BY145" s="22">
        <f t="shared" si="324"/>
        <v>0</v>
      </c>
      <c r="BZ145" s="22">
        <f t="shared" si="324"/>
        <v>0</v>
      </c>
      <c r="CA145" s="22">
        <f t="shared" si="324"/>
        <v>0</v>
      </c>
      <c r="CB145" s="22">
        <f t="shared" si="324"/>
        <v>0</v>
      </c>
      <c r="CC145" s="22">
        <f t="shared" si="324"/>
        <v>239619</v>
      </c>
      <c r="CD145" s="22">
        <f t="shared" si="324"/>
        <v>239619</v>
      </c>
      <c r="CE145" s="22">
        <f t="shared" si="324"/>
        <v>239619</v>
      </c>
      <c r="CF145" s="22">
        <f t="shared" si="324"/>
        <v>0</v>
      </c>
      <c r="CG145" s="22">
        <f t="shared" si="324"/>
        <v>239619</v>
      </c>
      <c r="CH145" s="22">
        <f t="shared" si="324"/>
        <v>0</v>
      </c>
      <c r="CI145" s="22">
        <f t="shared" si="324"/>
        <v>0</v>
      </c>
      <c r="CJ145" s="22">
        <f t="shared" si="324"/>
        <v>0</v>
      </c>
      <c r="CK145" s="22">
        <f t="shared" si="324"/>
        <v>0</v>
      </c>
      <c r="CL145" s="22">
        <f t="shared" si="324"/>
        <v>0</v>
      </c>
      <c r="CM145" s="22">
        <f t="shared" si="324"/>
        <v>0</v>
      </c>
      <c r="CN145" s="22">
        <f t="shared" si="324"/>
        <v>0</v>
      </c>
      <c r="CO145" s="22">
        <f t="shared" si="324"/>
        <v>0</v>
      </c>
      <c r="CP145" s="22"/>
      <c r="CQ145" s="22">
        <f t="shared" si="324"/>
        <v>0</v>
      </c>
      <c r="CR145" s="22">
        <f t="shared" si="324"/>
        <v>0</v>
      </c>
      <c r="CS145" s="22">
        <f t="shared" si="324"/>
        <v>0</v>
      </c>
      <c r="CT145" s="22">
        <f t="shared" si="324"/>
        <v>0</v>
      </c>
      <c r="CU145" s="22">
        <f t="shared" si="324"/>
        <v>0</v>
      </c>
      <c r="CV145" s="22">
        <f t="shared" si="324"/>
        <v>0</v>
      </c>
      <c r="CW145" s="22">
        <f t="shared" si="324"/>
        <v>0</v>
      </c>
      <c r="CX145" s="23">
        <f t="shared" si="324"/>
        <v>0</v>
      </c>
    </row>
    <row r="146" spans="1:102" ht="31.5" x14ac:dyDescent="0.25">
      <c r="A146" s="7"/>
      <c r="B146" s="8" t="s">
        <v>271</v>
      </c>
      <c r="C146" s="8" t="s">
        <v>1</v>
      </c>
      <c r="D146" s="9" t="s">
        <v>272</v>
      </c>
      <c r="E146" s="10">
        <f>SUM(E147:E149)</f>
        <v>14106485</v>
      </c>
      <c r="F146" s="11">
        <f t="shared" ref="F146:BW146" si="325">SUM(F147:F149)</f>
        <v>14085728</v>
      </c>
      <c r="G146" s="11">
        <f t="shared" si="325"/>
        <v>14085728</v>
      </c>
      <c r="H146" s="11">
        <f t="shared" si="325"/>
        <v>10904540</v>
      </c>
      <c r="I146" s="11">
        <f t="shared" si="325"/>
        <v>2560270</v>
      </c>
      <c r="J146" s="11">
        <f t="shared" si="325"/>
        <v>50592</v>
      </c>
      <c r="K146" s="11">
        <f t="shared" si="325"/>
        <v>0</v>
      </c>
      <c r="L146" s="11">
        <f t="shared" si="325"/>
        <v>0</v>
      </c>
      <c r="M146" s="11">
        <f t="shared" si="325"/>
        <v>0</v>
      </c>
      <c r="N146" s="11">
        <f t="shared" si="325"/>
        <v>0</v>
      </c>
      <c r="O146" s="11">
        <f t="shared" si="325"/>
        <v>49051</v>
      </c>
      <c r="P146" s="11">
        <f t="shared" si="325"/>
        <v>1541</v>
      </c>
      <c r="Q146" s="11">
        <f t="shared" si="325"/>
        <v>0</v>
      </c>
      <c r="R146" s="11">
        <f t="shared" si="325"/>
        <v>0</v>
      </c>
      <c r="S146" s="11">
        <f t="shared" si="325"/>
        <v>0</v>
      </c>
      <c r="T146" s="11">
        <f t="shared" si="325"/>
        <v>0</v>
      </c>
      <c r="U146" s="11">
        <f t="shared" si="325"/>
        <v>38203</v>
      </c>
      <c r="V146" s="11">
        <f t="shared" si="325"/>
        <v>368487</v>
      </c>
      <c r="W146" s="11">
        <f t="shared" si="325"/>
        <v>7500</v>
      </c>
      <c r="X146" s="11">
        <f t="shared" si="325"/>
        <v>239217</v>
      </c>
      <c r="Y146" s="11">
        <f t="shared" si="325"/>
        <v>90279</v>
      </c>
      <c r="Z146" s="11">
        <f t="shared" si="325"/>
        <v>21422</v>
      </c>
      <c r="AA146" s="11">
        <f t="shared" si="325"/>
        <v>5410</v>
      </c>
      <c r="AB146" s="11">
        <f t="shared" si="325"/>
        <v>0</v>
      </c>
      <c r="AC146" s="11">
        <f t="shared" si="325"/>
        <v>0</v>
      </c>
      <c r="AD146" s="11">
        <f t="shared" si="325"/>
        <v>4659</v>
      </c>
      <c r="AE146" s="11">
        <f t="shared" si="325"/>
        <v>0</v>
      </c>
      <c r="AF146" s="11">
        <f t="shared" si="325"/>
        <v>163636</v>
      </c>
      <c r="AG146" s="11">
        <f t="shared" si="325"/>
        <v>0</v>
      </c>
      <c r="AH146" s="11">
        <f t="shared" si="325"/>
        <v>0</v>
      </c>
      <c r="AI146" s="11">
        <f t="shared" si="325"/>
        <v>0</v>
      </c>
      <c r="AJ146" s="11">
        <f t="shared" si="325"/>
        <v>0</v>
      </c>
      <c r="AK146" s="11">
        <f t="shared" si="325"/>
        <v>0</v>
      </c>
      <c r="AL146" s="11">
        <f t="shared" si="325"/>
        <v>0</v>
      </c>
      <c r="AM146" s="11">
        <f t="shared" si="325"/>
        <v>0</v>
      </c>
      <c r="AN146" s="11">
        <f t="shared" si="325"/>
        <v>0</v>
      </c>
      <c r="AO146" s="11">
        <f t="shared" si="325"/>
        <v>0</v>
      </c>
      <c r="AP146" s="11">
        <f t="shared" si="325"/>
        <v>0</v>
      </c>
      <c r="AQ146" s="11">
        <f t="shared" si="325"/>
        <v>0</v>
      </c>
      <c r="AR146" s="11">
        <f t="shared" ref="AR146" si="326">SUM(AR147:AR149)</f>
        <v>0</v>
      </c>
      <c r="AS146" s="11">
        <f t="shared" si="325"/>
        <v>0</v>
      </c>
      <c r="AT146" s="11">
        <f t="shared" si="325"/>
        <v>163636</v>
      </c>
      <c r="AU146" s="11">
        <f t="shared" si="325"/>
        <v>0</v>
      </c>
      <c r="AV146" s="11"/>
      <c r="AW146" s="11"/>
      <c r="AX146" s="11">
        <f t="shared" si="325"/>
        <v>0</v>
      </c>
      <c r="AY146" s="11">
        <f t="shared" si="325"/>
        <v>0</v>
      </c>
      <c r="AZ146" s="11">
        <f t="shared" si="325"/>
        <v>0</v>
      </c>
      <c r="BA146" s="11">
        <f t="shared" si="325"/>
        <v>0</v>
      </c>
      <c r="BB146" s="11">
        <f t="shared" si="325"/>
        <v>0</v>
      </c>
      <c r="BC146" s="11">
        <f t="shared" si="325"/>
        <v>0</v>
      </c>
      <c r="BD146" s="11">
        <f t="shared" si="325"/>
        <v>0</v>
      </c>
      <c r="BE146" s="11">
        <f t="shared" si="325"/>
        <v>0</v>
      </c>
      <c r="BF146" s="11">
        <f t="shared" si="325"/>
        <v>0</v>
      </c>
      <c r="BG146" s="11">
        <f t="shared" si="325"/>
        <v>0</v>
      </c>
      <c r="BH146" s="11">
        <f t="shared" si="325"/>
        <v>0</v>
      </c>
      <c r="BI146" s="11">
        <f t="shared" si="325"/>
        <v>0</v>
      </c>
      <c r="BJ146" s="11">
        <f t="shared" si="325"/>
        <v>0</v>
      </c>
      <c r="BK146" s="11">
        <f t="shared" si="325"/>
        <v>0</v>
      </c>
      <c r="BL146" s="11">
        <f t="shared" si="325"/>
        <v>0</v>
      </c>
      <c r="BM146" s="11">
        <f t="shared" si="325"/>
        <v>0</v>
      </c>
      <c r="BN146" s="11">
        <f t="shared" si="325"/>
        <v>0</v>
      </c>
      <c r="BO146" s="11">
        <f t="shared" si="325"/>
        <v>0</v>
      </c>
      <c r="BP146" s="11">
        <f t="shared" ref="BP146" si="327">SUM(BP147:BP149)</f>
        <v>0</v>
      </c>
      <c r="BQ146" s="11">
        <f t="shared" si="325"/>
        <v>0</v>
      </c>
      <c r="BR146" s="11">
        <f t="shared" si="325"/>
        <v>0</v>
      </c>
      <c r="BS146" s="11">
        <f t="shared" si="325"/>
        <v>0</v>
      </c>
      <c r="BT146" s="11">
        <f t="shared" si="325"/>
        <v>0</v>
      </c>
      <c r="BU146" s="11">
        <f t="shared" si="325"/>
        <v>0</v>
      </c>
      <c r="BV146" s="11">
        <f t="shared" si="325"/>
        <v>0</v>
      </c>
      <c r="BW146" s="11">
        <f t="shared" si="325"/>
        <v>0</v>
      </c>
      <c r="BX146" s="11">
        <f t="shared" ref="BX146:CX146" si="328">SUM(BX147:BX149)</f>
        <v>0</v>
      </c>
      <c r="BY146" s="11">
        <f t="shared" si="328"/>
        <v>0</v>
      </c>
      <c r="BZ146" s="11">
        <f t="shared" si="328"/>
        <v>0</v>
      </c>
      <c r="CA146" s="11">
        <f t="shared" si="328"/>
        <v>0</v>
      </c>
      <c r="CB146" s="11">
        <f t="shared" si="328"/>
        <v>0</v>
      </c>
      <c r="CC146" s="11">
        <f t="shared" si="328"/>
        <v>20757</v>
      </c>
      <c r="CD146" s="11">
        <f t="shared" si="328"/>
        <v>20757</v>
      </c>
      <c r="CE146" s="11">
        <f t="shared" si="328"/>
        <v>20757</v>
      </c>
      <c r="CF146" s="11">
        <f t="shared" si="328"/>
        <v>0</v>
      </c>
      <c r="CG146" s="11">
        <f t="shared" si="328"/>
        <v>20757</v>
      </c>
      <c r="CH146" s="11">
        <f t="shared" si="328"/>
        <v>0</v>
      </c>
      <c r="CI146" s="11">
        <f t="shared" si="328"/>
        <v>0</v>
      </c>
      <c r="CJ146" s="11">
        <f t="shared" si="328"/>
        <v>0</v>
      </c>
      <c r="CK146" s="11">
        <f t="shared" si="328"/>
        <v>0</v>
      </c>
      <c r="CL146" s="11">
        <f t="shared" si="328"/>
        <v>0</v>
      </c>
      <c r="CM146" s="11">
        <f t="shared" si="328"/>
        <v>0</v>
      </c>
      <c r="CN146" s="11">
        <f t="shared" si="328"/>
        <v>0</v>
      </c>
      <c r="CO146" s="11">
        <f t="shared" si="328"/>
        <v>0</v>
      </c>
      <c r="CP146" s="11"/>
      <c r="CQ146" s="11">
        <f t="shared" si="328"/>
        <v>0</v>
      </c>
      <c r="CR146" s="11">
        <f t="shared" si="328"/>
        <v>0</v>
      </c>
      <c r="CS146" s="11">
        <f t="shared" si="328"/>
        <v>0</v>
      </c>
      <c r="CT146" s="11">
        <f t="shared" si="328"/>
        <v>0</v>
      </c>
      <c r="CU146" s="11">
        <f t="shared" si="328"/>
        <v>0</v>
      </c>
      <c r="CV146" s="11">
        <f t="shared" si="328"/>
        <v>0</v>
      </c>
      <c r="CW146" s="11">
        <f t="shared" si="328"/>
        <v>0</v>
      </c>
      <c r="CX146" s="12">
        <f t="shared" si="328"/>
        <v>0</v>
      </c>
    </row>
    <row r="147" spans="1:102" ht="31.5" x14ac:dyDescent="0.25">
      <c r="A147" s="13"/>
      <c r="B147" s="14" t="s">
        <v>1</v>
      </c>
      <c r="C147" s="14" t="s">
        <v>98</v>
      </c>
      <c r="D147" s="15" t="s">
        <v>273</v>
      </c>
      <c r="E147" s="10">
        <f>SUM(F147+CC147+CU147)</f>
        <v>8625962</v>
      </c>
      <c r="F147" s="11">
        <f>SUM(G147+BC147)</f>
        <v>8605205</v>
      </c>
      <c r="G147" s="11">
        <f>SUM(H147+I147+J147+Q147+T147+U147+V147+AF147+AE147)</f>
        <v>8605205</v>
      </c>
      <c r="H147" s="16">
        <f>6218149+331635</f>
        <v>6549784</v>
      </c>
      <c r="I147" s="16">
        <f>1431221+82909</f>
        <v>1514130</v>
      </c>
      <c r="J147" s="11">
        <f>SUM(K147:P147)</f>
        <v>50592</v>
      </c>
      <c r="K147" s="11">
        <v>0</v>
      </c>
      <c r="L147" s="11">
        <v>0</v>
      </c>
      <c r="M147" s="11">
        <v>0</v>
      </c>
      <c r="N147" s="11">
        <v>0</v>
      </c>
      <c r="O147" s="11">
        <v>49051</v>
      </c>
      <c r="P147" s="11">
        <v>1541</v>
      </c>
      <c r="Q147" s="11">
        <f t="shared" si="99"/>
        <v>0</v>
      </c>
      <c r="R147" s="11"/>
      <c r="S147" s="11">
        <v>0</v>
      </c>
      <c r="T147" s="11">
        <v>0</v>
      </c>
      <c r="U147" s="16">
        <v>24663</v>
      </c>
      <c r="V147" s="11">
        <f t="shared" ref="V147:V149" si="329">SUM(W147:AD147)</f>
        <v>342758</v>
      </c>
      <c r="W147" s="16">
        <v>7500</v>
      </c>
      <c r="X147" s="16">
        <f>188276+50941</f>
        <v>239217</v>
      </c>
      <c r="Y147" s="16">
        <v>71844</v>
      </c>
      <c r="Z147" s="16">
        <v>18787</v>
      </c>
      <c r="AA147" s="16">
        <v>5410</v>
      </c>
      <c r="AB147" s="16"/>
      <c r="AC147" s="16"/>
      <c r="AD147" s="16"/>
      <c r="AE147" s="11">
        <v>0</v>
      </c>
      <c r="AF147" s="11">
        <f>SUM(AG147:BB147)</f>
        <v>123278</v>
      </c>
      <c r="AG147" s="11">
        <v>0</v>
      </c>
      <c r="AH147" s="11">
        <v>0</v>
      </c>
      <c r="AI147" s="11">
        <v>0</v>
      </c>
      <c r="AJ147" s="11"/>
      <c r="AK147" s="11"/>
      <c r="AL147" s="11"/>
      <c r="AM147" s="11"/>
      <c r="AN147" s="11"/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f>0+123278</f>
        <v>123278</v>
      </c>
      <c r="AU147" s="11">
        <v>0</v>
      </c>
      <c r="AV147" s="11"/>
      <c r="AW147" s="11"/>
      <c r="AX147" s="11">
        <v>0</v>
      </c>
      <c r="AY147" s="11">
        <v>0</v>
      </c>
      <c r="AZ147" s="11">
        <v>0</v>
      </c>
      <c r="BA147" s="11">
        <v>0</v>
      </c>
      <c r="BB147" s="11">
        <v>0</v>
      </c>
      <c r="BC147" s="11">
        <f>SUM(BD147+BH147+BL147+BN147+BQ147)</f>
        <v>0</v>
      </c>
      <c r="BD147" s="11">
        <f>SUM(BE147:BG147)</f>
        <v>0</v>
      </c>
      <c r="BE147" s="11">
        <v>0</v>
      </c>
      <c r="BF147" s="11">
        <v>0</v>
      </c>
      <c r="BG147" s="11">
        <v>0</v>
      </c>
      <c r="BH147" s="11">
        <f t="shared" si="100"/>
        <v>0</v>
      </c>
      <c r="BI147" s="11">
        <v>0</v>
      </c>
      <c r="BJ147" s="11">
        <v>0</v>
      </c>
      <c r="BK147" s="11">
        <v>0</v>
      </c>
      <c r="BL147" s="11">
        <v>0</v>
      </c>
      <c r="BM147" s="11">
        <v>0</v>
      </c>
      <c r="BN147" s="11">
        <f t="shared" si="101"/>
        <v>0</v>
      </c>
      <c r="BO147" s="11">
        <v>0</v>
      </c>
      <c r="BP147" s="11">
        <v>0</v>
      </c>
      <c r="BQ147" s="11">
        <f t="shared" si="102"/>
        <v>0</v>
      </c>
      <c r="BR147" s="11">
        <v>0</v>
      </c>
      <c r="BS147" s="11">
        <v>0</v>
      </c>
      <c r="BT147" s="11">
        <v>0</v>
      </c>
      <c r="BU147" s="11">
        <v>0</v>
      </c>
      <c r="BV147" s="11">
        <v>0</v>
      </c>
      <c r="BW147" s="11">
        <v>0</v>
      </c>
      <c r="BX147" s="11">
        <v>0</v>
      </c>
      <c r="BY147" s="11">
        <v>0</v>
      </c>
      <c r="BZ147" s="11">
        <v>0</v>
      </c>
      <c r="CA147" s="11">
        <v>0</v>
      </c>
      <c r="CB147" s="11">
        <v>0</v>
      </c>
      <c r="CC147" s="11">
        <f>SUM(CD147+CT147)</f>
        <v>20757</v>
      </c>
      <c r="CD147" s="11">
        <f>SUM(CE147+CH147+CM147)</f>
        <v>20757</v>
      </c>
      <c r="CE147" s="11">
        <f t="shared" si="103"/>
        <v>20757</v>
      </c>
      <c r="CF147" s="11">
        <v>0</v>
      </c>
      <c r="CG147" s="11">
        <f>24393-3636</f>
        <v>20757</v>
      </c>
      <c r="CH147" s="11">
        <f>SUM(CI147:CL147)</f>
        <v>0</v>
      </c>
      <c r="CI147" s="11">
        <v>0</v>
      </c>
      <c r="CJ147" s="11">
        <v>0</v>
      </c>
      <c r="CK147" s="11">
        <v>0</v>
      </c>
      <c r="CL147" s="11">
        <v>0</v>
      </c>
      <c r="CM147" s="11">
        <f>SUM(CN147:CQ147)</f>
        <v>0</v>
      </c>
      <c r="CN147" s="11">
        <v>0</v>
      </c>
      <c r="CO147" s="11">
        <v>0</v>
      </c>
      <c r="CP147" s="11"/>
      <c r="CQ147" s="11">
        <v>0</v>
      </c>
      <c r="CR147" s="11">
        <v>0</v>
      </c>
      <c r="CS147" s="11">
        <v>0</v>
      </c>
      <c r="CT147" s="11">
        <v>0</v>
      </c>
      <c r="CU147" s="11">
        <f t="shared" si="104"/>
        <v>0</v>
      </c>
      <c r="CV147" s="11">
        <f t="shared" si="105"/>
        <v>0</v>
      </c>
      <c r="CW147" s="11">
        <v>0</v>
      </c>
      <c r="CX147" s="12">
        <v>0</v>
      </c>
    </row>
    <row r="148" spans="1:102" ht="15.75" x14ac:dyDescent="0.25">
      <c r="A148" s="13"/>
      <c r="B148" s="14" t="s">
        <v>1</v>
      </c>
      <c r="C148" s="14" t="s">
        <v>98</v>
      </c>
      <c r="D148" s="15" t="s">
        <v>274</v>
      </c>
      <c r="E148" s="10">
        <f>SUM(F148+CC148+CU148)</f>
        <v>1026017</v>
      </c>
      <c r="F148" s="11">
        <f>SUM(G148+BC148)</f>
        <v>1026017</v>
      </c>
      <c r="G148" s="11">
        <f>SUM(H148+I148+J148+Q148+T148+U148+V148+AF148+AE148)</f>
        <v>1026017</v>
      </c>
      <c r="H148" s="16">
        <f>728521+38854</f>
        <v>767375</v>
      </c>
      <c r="I148" s="16">
        <f>169301+9714</f>
        <v>179015</v>
      </c>
      <c r="J148" s="11">
        <f>SUM(K148:P148)</f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f t="shared" si="99"/>
        <v>0</v>
      </c>
      <c r="R148" s="11">
        <v>0</v>
      </c>
      <c r="S148" s="11">
        <v>0</v>
      </c>
      <c r="T148" s="11">
        <v>0</v>
      </c>
      <c r="U148" s="16">
        <v>13540</v>
      </c>
      <c r="V148" s="11">
        <f t="shared" si="329"/>
        <v>25729</v>
      </c>
      <c r="W148" s="16"/>
      <c r="X148" s="16"/>
      <c r="Y148" s="16">
        <v>18435</v>
      </c>
      <c r="Z148" s="16">
        <v>2635</v>
      </c>
      <c r="AA148" s="16"/>
      <c r="AB148" s="16"/>
      <c r="AC148" s="16"/>
      <c r="AD148" s="16">
        <v>4659</v>
      </c>
      <c r="AE148" s="11"/>
      <c r="AF148" s="11">
        <f>SUM(AG148:BB148)</f>
        <v>40358</v>
      </c>
      <c r="AG148" s="11">
        <v>0</v>
      </c>
      <c r="AH148" s="11">
        <v>0</v>
      </c>
      <c r="AI148" s="11">
        <v>0</v>
      </c>
      <c r="AJ148" s="11"/>
      <c r="AK148" s="11"/>
      <c r="AL148" s="11"/>
      <c r="AM148" s="11"/>
      <c r="AN148" s="11"/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f>40503-145</f>
        <v>40358</v>
      </c>
      <c r="AU148" s="11">
        <v>0</v>
      </c>
      <c r="AV148" s="11"/>
      <c r="AW148" s="11"/>
      <c r="AX148" s="11">
        <v>0</v>
      </c>
      <c r="AY148" s="11">
        <v>0</v>
      </c>
      <c r="AZ148" s="11">
        <v>0</v>
      </c>
      <c r="BA148" s="11">
        <v>0</v>
      </c>
      <c r="BB148" s="11"/>
      <c r="BC148" s="11">
        <f>SUM(BD148+BH148+BL148+BN148+BQ148)</f>
        <v>0</v>
      </c>
      <c r="BD148" s="11">
        <f>SUM(BE148:BG148)</f>
        <v>0</v>
      </c>
      <c r="BE148" s="11">
        <v>0</v>
      </c>
      <c r="BF148" s="11">
        <v>0</v>
      </c>
      <c r="BG148" s="11">
        <v>0</v>
      </c>
      <c r="BH148" s="11">
        <f t="shared" si="100"/>
        <v>0</v>
      </c>
      <c r="BI148" s="11">
        <v>0</v>
      </c>
      <c r="BJ148" s="11">
        <v>0</v>
      </c>
      <c r="BK148" s="11">
        <v>0</v>
      </c>
      <c r="BL148" s="11">
        <v>0</v>
      </c>
      <c r="BM148" s="11">
        <v>0</v>
      </c>
      <c r="BN148" s="11">
        <f t="shared" si="101"/>
        <v>0</v>
      </c>
      <c r="BO148" s="11">
        <v>0</v>
      </c>
      <c r="BP148" s="11">
        <v>0</v>
      </c>
      <c r="BQ148" s="11">
        <f t="shared" si="102"/>
        <v>0</v>
      </c>
      <c r="BR148" s="11">
        <v>0</v>
      </c>
      <c r="BS148" s="11">
        <v>0</v>
      </c>
      <c r="BT148" s="11">
        <v>0</v>
      </c>
      <c r="BU148" s="11">
        <v>0</v>
      </c>
      <c r="BV148" s="11">
        <v>0</v>
      </c>
      <c r="BW148" s="11">
        <v>0</v>
      </c>
      <c r="BX148" s="11">
        <v>0</v>
      </c>
      <c r="BY148" s="11">
        <v>0</v>
      </c>
      <c r="BZ148" s="11">
        <v>0</v>
      </c>
      <c r="CA148" s="11">
        <v>0</v>
      </c>
      <c r="CB148" s="11">
        <v>0</v>
      </c>
      <c r="CC148" s="11">
        <f>SUM(CD148+CT148)</f>
        <v>0</v>
      </c>
      <c r="CD148" s="11">
        <f>SUM(CE148+CH148+CM148)</f>
        <v>0</v>
      </c>
      <c r="CE148" s="11">
        <f t="shared" si="103"/>
        <v>0</v>
      </c>
      <c r="CF148" s="11">
        <v>0</v>
      </c>
      <c r="CG148" s="11"/>
      <c r="CH148" s="11">
        <f>SUM(CI148:CL148)</f>
        <v>0</v>
      </c>
      <c r="CI148" s="11">
        <v>0</v>
      </c>
      <c r="CJ148" s="11">
        <v>0</v>
      </c>
      <c r="CK148" s="11">
        <v>0</v>
      </c>
      <c r="CL148" s="11">
        <v>0</v>
      </c>
      <c r="CM148" s="11">
        <f>SUM(CN148:CQ148)</f>
        <v>0</v>
      </c>
      <c r="CN148" s="11">
        <v>0</v>
      </c>
      <c r="CO148" s="11">
        <v>0</v>
      </c>
      <c r="CP148" s="11"/>
      <c r="CQ148" s="11">
        <v>0</v>
      </c>
      <c r="CR148" s="11">
        <v>0</v>
      </c>
      <c r="CS148" s="11">
        <v>0</v>
      </c>
      <c r="CT148" s="11">
        <v>0</v>
      </c>
      <c r="CU148" s="11">
        <f t="shared" si="104"/>
        <v>0</v>
      </c>
      <c r="CV148" s="11">
        <f t="shared" si="105"/>
        <v>0</v>
      </c>
      <c r="CW148" s="11">
        <v>0</v>
      </c>
      <c r="CX148" s="12">
        <v>0</v>
      </c>
    </row>
    <row r="149" spans="1:102" ht="31.5" x14ac:dyDescent="0.25">
      <c r="A149" s="13"/>
      <c r="B149" s="14" t="s">
        <v>1</v>
      </c>
      <c r="C149" s="14" t="s">
        <v>98</v>
      </c>
      <c r="D149" s="15" t="s">
        <v>452</v>
      </c>
      <c r="E149" s="10">
        <f>SUM(F149+CC149+CU149)</f>
        <v>4454506</v>
      </c>
      <c r="F149" s="11">
        <f>SUM(G149+BC149)</f>
        <v>4454506</v>
      </c>
      <c r="G149" s="11">
        <f>SUM(H149+I149+J149+Q149+T149+U149+V149+AF149+AE149)</f>
        <v>4454506</v>
      </c>
      <c r="H149" s="16">
        <f>3405741+181640</f>
        <v>3587381</v>
      </c>
      <c r="I149" s="16">
        <f>821715+45410</f>
        <v>867125</v>
      </c>
      <c r="J149" s="11">
        <f>SUM(K149:P149)</f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f t="shared" si="99"/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f t="shared" si="329"/>
        <v>0</v>
      </c>
      <c r="W149" s="16"/>
      <c r="X149" s="16"/>
      <c r="Y149" s="16"/>
      <c r="Z149" s="16"/>
      <c r="AA149" s="16"/>
      <c r="AB149" s="16"/>
      <c r="AC149" s="16"/>
      <c r="AD149" s="16"/>
      <c r="AE149" s="11">
        <v>0</v>
      </c>
      <c r="AF149" s="11">
        <f>SUM(AG149:BB149)</f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  <c r="AU149" s="11">
        <v>0</v>
      </c>
      <c r="AV149" s="11"/>
      <c r="AW149" s="11"/>
      <c r="AX149" s="11">
        <v>0</v>
      </c>
      <c r="AY149" s="11">
        <v>0</v>
      </c>
      <c r="AZ149" s="11">
        <v>0</v>
      </c>
      <c r="BA149" s="11">
        <v>0</v>
      </c>
      <c r="BB149" s="11">
        <v>0</v>
      </c>
      <c r="BC149" s="11">
        <f>SUM(BD149+BH149+BL149+BN149+BQ149)</f>
        <v>0</v>
      </c>
      <c r="BD149" s="11">
        <f>SUM(BE149:BG149)</f>
        <v>0</v>
      </c>
      <c r="BE149" s="11">
        <v>0</v>
      </c>
      <c r="BF149" s="11">
        <v>0</v>
      </c>
      <c r="BG149" s="11">
        <v>0</v>
      </c>
      <c r="BH149" s="11">
        <f t="shared" si="100"/>
        <v>0</v>
      </c>
      <c r="BI149" s="11">
        <v>0</v>
      </c>
      <c r="BJ149" s="11">
        <v>0</v>
      </c>
      <c r="BK149" s="11">
        <v>0</v>
      </c>
      <c r="BL149" s="11">
        <v>0</v>
      </c>
      <c r="BM149" s="11">
        <v>0</v>
      </c>
      <c r="BN149" s="11">
        <f t="shared" si="101"/>
        <v>0</v>
      </c>
      <c r="BO149" s="11">
        <v>0</v>
      </c>
      <c r="BP149" s="11">
        <v>0</v>
      </c>
      <c r="BQ149" s="11">
        <f t="shared" si="102"/>
        <v>0</v>
      </c>
      <c r="BR149" s="11">
        <v>0</v>
      </c>
      <c r="BS149" s="11">
        <v>0</v>
      </c>
      <c r="BT149" s="11">
        <v>0</v>
      </c>
      <c r="BU149" s="11">
        <v>0</v>
      </c>
      <c r="BV149" s="11">
        <v>0</v>
      </c>
      <c r="BW149" s="11">
        <v>0</v>
      </c>
      <c r="BX149" s="11">
        <v>0</v>
      </c>
      <c r="BY149" s="11">
        <v>0</v>
      </c>
      <c r="BZ149" s="11">
        <v>0</v>
      </c>
      <c r="CA149" s="11">
        <v>0</v>
      </c>
      <c r="CB149" s="11">
        <v>0</v>
      </c>
      <c r="CC149" s="11">
        <f>SUM(CD149+CT149)</f>
        <v>0</v>
      </c>
      <c r="CD149" s="11">
        <f>SUM(CE149+CH149+CM149)</f>
        <v>0</v>
      </c>
      <c r="CE149" s="11">
        <f t="shared" si="103"/>
        <v>0</v>
      </c>
      <c r="CF149" s="11">
        <v>0</v>
      </c>
      <c r="CG149" s="11">
        <v>0</v>
      </c>
      <c r="CH149" s="11">
        <f>SUM(CI149:CL149)</f>
        <v>0</v>
      </c>
      <c r="CI149" s="11">
        <v>0</v>
      </c>
      <c r="CJ149" s="11">
        <v>0</v>
      </c>
      <c r="CK149" s="11">
        <v>0</v>
      </c>
      <c r="CL149" s="11">
        <v>0</v>
      </c>
      <c r="CM149" s="11">
        <f>SUM(CN149:CQ149)</f>
        <v>0</v>
      </c>
      <c r="CN149" s="11">
        <v>0</v>
      </c>
      <c r="CO149" s="11">
        <v>0</v>
      </c>
      <c r="CP149" s="11"/>
      <c r="CQ149" s="11">
        <v>0</v>
      </c>
      <c r="CR149" s="11">
        <v>0</v>
      </c>
      <c r="CS149" s="11">
        <v>0</v>
      </c>
      <c r="CT149" s="11">
        <v>0</v>
      </c>
      <c r="CU149" s="11">
        <f t="shared" si="104"/>
        <v>0</v>
      </c>
      <c r="CV149" s="11">
        <f t="shared" si="105"/>
        <v>0</v>
      </c>
      <c r="CW149" s="11">
        <v>0</v>
      </c>
      <c r="CX149" s="12">
        <v>0</v>
      </c>
    </row>
    <row r="150" spans="1:102" ht="15.75" x14ac:dyDescent="0.25">
      <c r="A150" s="7"/>
      <c r="B150" s="8" t="s">
        <v>275</v>
      </c>
      <c r="C150" s="8" t="s">
        <v>1</v>
      </c>
      <c r="D150" s="9" t="s">
        <v>276</v>
      </c>
      <c r="E150" s="10">
        <f>SUM(E151:E152)</f>
        <v>674360</v>
      </c>
      <c r="F150" s="11">
        <f t="shared" ref="F150:BW150" si="330">SUM(F151:F152)</f>
        <v>674360</v>
      </c>
      <c r="G150" s="11">
        <f t="shared" si="330"/>
        <v>674360</v>
      </c>
      <c r="H150" s="11">
        <f t="shared" si="330"/>
        <v>0</v>
      </c>
      <c r="I150" s="11">
        <f t="shared" si="330"/>
        <v>0</v>
      </c>
      <c r="J150" s="11">
        <f t="shared" si="330"/>
        <v>0</v>
      </c>
      <c r="K150" s="11">
        <f t="shared" si="330"/>
        <v>0</v>
      </c>
      <c r="L150" s="11">
        <f t="shared" si="330"/>
        <v>0</v>
      </c>
      <c r="M150" s="11">
        <f t="shared" si="330"/>
        <v>0</v>
      </c>
      <c r="N150" s="11">
        <f t="shared" si="330"/>
        <v>0</v>
      </c>
      <c r="O150" s="11">
        <f t="shared" si="330"/>
        <v>0</v>
      </c>
      <c r="P150" s="11">
        <f t="shared" si="330"/>
        <v>0</v>
      </c>
      <c r="Q150" s="11">
        <f t="shared" si="330"/>
        <v>0</v>
      </c>
      <c r="R150" s="11">
        <f t="shared" si="330"/>
        <v>0</v>
      </c>
      <c r="S150" s="11">
        <f t="shared" si="330"/>
        <v>0</v>
      </c>
      <c r="T150" s="11">
        <f t="shared" si="330"/>
        <v>0</v>
      </c>
      <c r="U150" s="11">
        <f t="shared" si="330"/>
        <v>0</v>
      </c>
      <c r="V150" s="11">
        <f t="shared" si="330"/>
        <v>0</v>
      </c>
      <c r="W150" s="11">
        <f t="shared" si="330"/>
        <v>0</v>
      </c>
      <c r="X150" s="11">
        <f t="shared" si="330"/>
        <v>0</v>
      </c>
      <c r="Y150" s="11">
        <f t="shared" si="330"/>
        <v>0</v>
      </c>
      <c r="Z150" s="11">
        <f t="shared" si="330"/>
        <v>0</v>
      </c>
      <c r="AA150" s="11">
        <f t="shared" si="330"/>
        <v>0</v>
      </c>
      <c r="AB150" s="11">
        <f t="shared" si="330"/>
        <v>0</v>
      </c>
      <c r="AC150" s="11">
        <f t="shared" si="330"/>
        <v>0</v>
      </c>
      <c r="AD150" s="11">
        <f t="shared" si="330"/>
        <v>0</v>
      </c>
      <c r="AE150" s="11">
        <f t="shared" si="330"/>
        <v>0</v>
      </c>
      <c r="AF150" s="11">
        <f t="shared" si="330"/>
        <v>674360</v>
      </c>
      <c r="AG150" s="11">
        <f t="shared" si="330"/>
        <v>0</v>
      </c>
      <c r="AH150" s="11">
        <f t="shared" si="330"/>
        <v>0</v>
      </c>
      <c r="AI150" s="11">
        <f t="shared" si="330"/>
        <v>0</v>
      </c>
      <c r="AJ150" s="11">
        <f t="shared" si="330"/>
        <v>0</v>
      </c>
      <c r="AK150" s="11">
        <f t="shared" si="330"/>
        <v>0</v>
      </c>
      <c r="AL150" s="11">
        <f t="shared" si="330"/>
        <v>0</v>
      </c>
      <c r="AM150" s="11">
        <f t="shared" si="330"/>
        <v>0</v>
      </c>
      <c r="AN150" s="11">
        <f t="shared" si="330"/>
        <v>0</v>
      </c>
      <c r="AO150" s="11">
        <f t="shared" si="330"/>
        <v>0</v>
      </c>
      <c r="AP150" s="11">
        <f t="shared" si="330"/>
        <v>0</v>
      </c>
      <c r="AQ150" s="11">
        <f t="shared" si="330"/>
        <v>0</v>
      </c>
      <c r="AR150" s="11">
        <f t="shared" ref="AR150" si="331">SUM(AR151:AR152)</f>
        <v>0</v>
      </c>
      <c r="AS150" s="11">
        <f t="shared" si="330"/>
        <v>0</v>
      </c>
      <c r="AT150" s="11">
        <f t="shared" si="330"/>
        <v>0</v>
      </c>
      <c r="AU150" s="11">
        <f t="shared" si="330"/>
        <v>0</v>
      </c>
      <c r="AV150" s="11"/>
      <c r="AW150" s="11"/>
      <c r="AX150" s="11">
        <f t="shared" si="330"/>
        <v>0</v>
      </c>
      <c r="AY150" s="11">
        <f t="shared" si="330"/>
        <v>0</v>
      </c>
      <c r="AZ150" s="11">
        <f t="shared" si="330"/>
        <v>0</v>
      </c>
      <c r="BA150" s="11">
        <f t="shared" si="330"/>
        <v>0</v>
      </c>
      <c r="BB150" s="11">
        <f t="shared" si="330"/>
        <v>674360</v>
      </c>
      <c r="BC150" s="11">
        <f t="shared" si="330"/>
        <v>0</v>
      </c>
      <c r="BD150" s="11">
        <f t="shared" si="330"/>
        <v>0</v>
      </c>
      <c r="BE150" s="11">
        <f t="shared" si="330"/>
        <v>0</v>
      </c>
      <c r="BF150" s="11">
        <f t="shared" si="330"/>
        <v>0</v>
      </c>
      <c r="BG150" s="11">
        <f t="shared" si="330"/>
        <v>0</v>
      </c>
      <c r="BH150" s="11">
        <f t="shared" si="330"/>
        <v>0</v>
      </c>
      <c r="BI150" s="11">
        <f t="shared" si="330"/>
        <v>0</v>
      </c>
      <c r="BJ150" s="11">
        <f t="shared" si="330"/>
        <v>0</v>
      </c>
      <c r="BK150" s="11">
        <f t="shared" si="330"/>
        <v>0</v>
      </c>
      <c r="BL150" s="11">
        <f t="shared" si="330"/>
        <v>0</v>
      </c>
      <c r="BM150" s="11">
        <f t="shared" si="330"/>
        <v>0</v>
      </c>
      <c r="BN150" s="11">
        <f t="shared" si="330"/>
        <v>0</v>
      </c>
      <c r="BO150" s="11">
        <f t="shared" si="330"/>
        <v>0</v>
      </c>
      <c r="BP150" s="11">
        <f t="shared" ref="BP150" si="332">SUM(BP151:BP152)</f>
        <v>0</v>
      </c>
      <c r="BQ150" s="11">
        <f t="shared" si="330"/>
        <v>0</v>
      </c>
      <c r="BR150" s="11">
        <f t="shared" si="330"/>
        <v>0</v>
      </c>
      <c r="BS150" s="11">
        <f t="shared" si="330"/>
        <v>0</v>
      </c>
      <c r="BT150" s="11">
        <f t="shared" si="330"/>
        <v>0</v>
      </c>
      <c r="BU150" s="11">
        <f t="shared" si="330"/>
        <v>0</v>
      </c>
      <c r="BV150" s="11">
        <f t="shared" si="330"/>
        <v>0</v>
      </c>
      <c r="BW150" s="11">
        <f t="shared" si="330"/>
        <v>0</v>
      </c>
      <c r="BX150" s="11">
        <f t="shared" ref="BX150:CX150" si="333">SUM(BX151:BX152)</f>
        <v>0</v>
      </c>
      <c r="BY150" s="11">
        <f t="shared" si="333"/>
        <v>0</v>
      </c>
      <c r="BZ150" s="11">
        <f t="shared" si="333"/>
        <v>0</v>
      </c>
      <c r="CA150" s="11">
        <f t="shared" si="333"/>
        <v>0</v>
      </c>
      <c r="CB150" s="11">
        <f t="shared" si="333"/>
        <v>0</v>
      </c>
      <c r="CC150" s="11">
        <f t="shared" si="333"/>
        <v>0</v>
      </c>
      <c r="CD150" s="11">
        <f t="shared" si="333"/>
        <v>0</v>
      </c>
      <c r="CE150" s="11">
        <f t="shared" si="333"/>
        <v>0</v>
      </c>
      <c r="CF150" s="11">
        <f t="shared" si="333"/>
        <v>0</v>
      </c>
      <c r="CG150" s="11">
        <f t="shared" si="333"/>
        <v>0</v>
      </c>
      <c r="CH150" s="11">
        <f t="shared" si="333"/>
        <v>0</v>
      </c>
      <c r="CI150" s="11">
        <f t="shared" si="333"/>
        <v>0</v>
      </c>
      <c r="CJ150" s="11">
        <f t="shared" si="333"/>
        <v>0</v>
      </c>
      <c r="CK150" s="11">
        <f t="shared" si="333"/>
        <v>0</v>
      </c>
      <c r="CL150" s="11">
        <f t="shared" si="333"/>
        <v>0</v>
      </c>
      <c r="CM150" s="11">
        <f t="shared" si="333"/>
        <v>0</v>
      </c>
      <c r="CN150" s="11">
        <f t="shared" si="333"/>
        <v>0</v>
      </c>
      <c r="CO150" s="11">
        <f t="shared" si="333"/>
        <v>0</v>
      </c>
      <c r="CP150" s="11"/>
      <c r="CQ150" s="11">
        <f t="shared" si="333"/>
        <v>0</v>
      </c>
      <c r="CR150" s="11">
        <f t="shared" si="333"/>
        <v>0</v>
      </c>
      <c r="CS150" s="11">
        <f t="shared" si="333"/>
        <v>0</v>
      </c>
      <c r="CT150" s="11">
        <f t="shared" si="333"/>
        <v>0</v>
      </c>
      <c r="CU150" s="11">
        <f t="shared" si="333"/>
        <v>0</v>
      </c>
      <c r="CV150" s="11">
        <f t="shared" si="333"/>
        <v>0</v>
      </c>
      <c r="CW150" s="11">
        <f t="shared" si="333"/>
        <v>0</v>
      </c>
      <c r="CX150" s="12">
        <f t="shared" si="333"/>
        <v>0</v>
      </c>
    </row>
    <row r="151" spans="1:102" ht="15.75" x14ac:dyDescent="0.25">
      <c r="A151" s="13"/>
      <c r="B151" s="14" t="s">
        <v>1</v>
      </c>
      <c r="C151" s="14" t="s">
        <v>88</v>
      </c>
      <c r="D151" s="15" t="s">
        <v>277</v>
      </c>
      <c r="E151" s="10">
        <f>SUM(F151+CC151+CU151)</f>
        <v>465078</v>
      </c>
      <c r="F151" s="11">
        <f>SUM(G151+BC151)</f>
        <v>465078</v>
      </c>
      <c r="G151" s="11">
        <f>SUM(H151+I151+J151+Q151+T151+U151+V151+AF151+AE151)</f>
        <v>465078</v>
      </c>
      <c r="H151" s="11">
        <v>0</v>
      </c>
      <c r="I151" s="11">
        <v>0</v>
      </c>
      <c r="J151" s="11">
        <f>SUM(K151:P151)</f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f t="shared" ref="Q151:Q231" si="334">SUM(R151:S151)</f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f t="shared" ref="V151:V152" si="335">SUM(W151:AD151)</f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f>SUM(AG151:BB151)</f>
        <v>465078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>
        <v>0</v>
      </c>
      <c r="AU151" s="11">
        <v>0</v>
      </c>
      <c r="AV151" s="11"/>
      <c r="AW151" s="11"/>
      <c r="AX151" s="11">
        <v>0</v>
      </c>
      <c r="AY151" s="11">
        <v>0</v>
      </c>
      <c r="AZ151" s="11">
        <v>0</v>
      </c>
      <c r="BA151" s="11">
        <v>0</v>
      </c>
      <c r="BB151" s="16">
        <f>655288-150000-40210</f>
        <v>465078</v>
      </c>
      <c r="BC151" s="11">
        <f>SUM(BD151+BH151+BL151+BN151+BQ151)</f>
        <v>0</v>
      </c>
      <c r="BD151" s="11">
        <f>SUM(BE151:BG151)</f>
        <v>0</v>
      </c>
      <c r="BE151" s="11">
        <v>0</v>
      </c>
      <c r="BF151" s="11">
        <v>0</v>
      </c>
      <c r="BG151" s="11">
        <v>0</v>
      </c>
      <c r="BH151" s="11">
        <f t="shared" ref="BH151:BH231" si="336">SUM(BJ151:BK151)</f>
        <v>0</v>
      </c>
      <c r="BI151" s="11">
        <v>0</v>
      </c>
      <c r="BJ151" s="11">
        <v>0</v>
      </c>
      <c r="BK151" s="11">
        <v>0</v>
      </c>
      <c r="BL151" s="11">
        <v>0</v>
      </c>
      <c r="BM151" s="11">
        <v>0</v>
      </c>
      <c r="BN151" s="11">
        <f t="shared" ref="BN151:BN231" si="337">SUM(BO151)</f>
        <v>0</v>
      </c>
      <c r="BO151" s="11">
        <v>0</v>
      </c>
      <c r="BP151" s="11">
        <v>0</v>
      </c>
      <c r="BQ151" s="11">
        <f t="shared" ref="BQ151:BQ231" si="338">SUM(BR151:CB151)</f>
        <v>0</v>
      </c>
      <c r="BR151" s="11">
        <v>0</v>
      </c>
      <c r="BS151" s="11">
        <v>0</v>
      </c>
      <c r="BT151" s="11">
        <v>0</v>
      </c>
      <c r="BU151" s="11">
        <v>0</v>
      </c>
      <c r="BV151" s="11">
        <v>0</v>
      </c>
      <c r="BW151" s="11">
        <v>0</v>
      </c>
      <c r="BX151" s="11">
        <v>0</v>
      </c>
      <c r="BY151" s="11">
        <v>0</v>
      </c>
      <c r="BZ151" s="11">
        <v>0</v>
      </c>
      <c r="CA151" s="11">
        <v>0</v>
      </c>
      <c r="CB151" s="11">
        <v>0</v>
      </c>
      <c r="CC151" s="11">
        <f>SUM(CD151+CT151)</f>
        <v>0</v>
      </c>
      <c r="CD151" s="11">
        <f>SUM(CE151+CH151+CM151)</f>
        <v>0</v>
      </c>
      <c r="CE151" s="11">
        <f t="shared" ref="CE151:CE231" si="339">SUM(CF151:CG151)</f>
        <v>0</v>
      </c>
      <c r="CF151" s="11">
        <v>0</v>
      </c>
      <c r="CG151" s="11">
        <v>0</v>
      </c>
      <c r="CH151" s="11">
        <f>SUM(CI151:CL151)</f>
        <v>0</v>
      </c>
      <c r="CI151" s="11">
        <v>0</v>
      </c>
      <c r="CJ151" s="11">
        <v>0</v>
      </c>
      <c r="CK151" s="11">
        <v>0</v>
      </c>
      <c r="CL151" s="11">
        <v>0</v>
      </c>
      <c r="CM151" s="11">
        <f>SUM(CN151:CQ151)</f>
        <v>0</v>
      </c>
      <c r="CN151" s="11">
        <v>0</v>
      </c>
      <c r="CO151" s="11">
        <v>0</v>
      </c>
      <c r="CP151" s="11"/>
      <c r="CQ151" s="11">
        <v>0</v>
      </c>
      <c r="CR151" s="11">
        <v>0</v>
      </c>
      <c r="CS151" s="11">
        <v>0</v>
      </c>
      <c r="CT151" s="11">
        <v>0</v>
      </c>
      <c r="CU151" s="11">
        <f t="shared" ref="CU151:CU231" si="340">SUM(CV151)</f>
        <v>0</v>
      </c>
      <c r="CV151" s="11">
        <f t="shared" ref="CV151:CV231" si="341">SUM(CW151:CX151)</f>
        <v>0</v>
      </c>
      <c r="CW151" s="11">
        <v>0</v>
      </c>
      <c r="CX151" s="12">
        <v>0</v>
      </c>
    </row>
    <row r="152" spans="1:102" ht="15.75" x14ac:dyDescent="0.25">
      <c r="A152" s="13"/>
      <c r="B152" s="14" t="s">
        <v>1</v>
      </c>
      <c r="C152" s="14" t="s">
        <v>96</v>
      </c>
      <c r="D152" s="15" t="s">
        <v>278</v>
      </c>
      <c r="E152" s="10">
        <f>SUM(F152+CC152+CU152)</f>
        <v>209282</v>
      </c>
      <c r="F152" s="11">
        <f>SUM(G152+BC152)</f>
        <v>209282</v>
      </c>
      <c r="G152" s="11">
        <f>SUM(H152+I152+J152+Q152+T152+U152+V152+AF152+AE152)</f>
        <v>209282</v>
      </c>
      <c r="H152" s="11">
        <v>0</v>
      </c>
      <c r="I152" s="11">
        <v>0</v>
      </c>
      <c r="J152" s="11">
        <f>SUM(K152:P152)</f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f t="shared" si="334"/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f t="shared" si="335"/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f>SUM(AG152:BB152)</f>
        <v>209282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  <c r="AU152" s="11">
        <v>0</v>
      </c>
      <c r="AV152" s="11"/>
      <c r="AW152" s="11"/>
      <c r="AX152" s="11">
        <v>0</v>
      </c>
      <c r="AY152" s="11">
        <v>0</v>
      </c>
      <c r="AZ152" s="11">
        <v>0</v>
      </c>
      <c r="BA152" s="11">
        <v>0</v>
      </c>
      <c r="BB152" s="16">
        <v>209282</v>
      </c>
      <c r="BC152" s="11">
        <f>SUM(BD152+BH152+BL152+BN152+BQ152)</f>
        <v>0</v>
      </c>
      <c r="BD152" s="11">
        <f>SUM(BE152:BG152)</f>
        <v>0</v>
      </c>
      <c r="BE152" s="11">
        <v>0</v>
      </c>
      <c r="BF152" s="11">
        <v>0</v>
      </c>
      <c r="BG152" s="11">
        <v>0</v>
      </c>
      <c r="BH152" s="11">
        <f t="shared" si="336"/>
        <v>0</v>
      </c>
      <c r="BI152" s="11">
        <v>0</v>
      </c>
      <c r="BJ152" s="11">
        <v>0</v>
      </c>
      <c r="BK152" s="11">
        <v>0</v>
      </c>
      <c r="BL152" s="11">
        <v>0</v>
      </c>
      <c r="BM152" s="11">
        <v>0</v>
      </c>
      <c r="BN152" s="11">
        <f t="shared" si="337"/>
        <v>0</v>
      </c>
      <c r="BO152" s="11">
        <v>0</v>
      </c>
      <c r="BP152" s="11">
        <v>0</v>
      </c>
      <c r="BQ152" s="11">
        <f t="shared" si="338"/>
        <v>0</v>
      </c>
      <c r="BR152" s="11">
        <v>0</v>
      </c>
      <c r="BS152" s="11">
        <v>0</v>
      </c>
      <c r="BT152" s="11">
        <v>0</v>
      </c>
      <c r="BU152" s="11">
        <v>0</v>
      </c>
      <c r="BV152" s="11">
        <v>0</v>
      </c>
      <c r="BW152" s="11">
        <v>0</v>
      </c>
      <c r="BX152" s="11">
        <v>0</v>
      </c>
      <c r="BY152" s="11">
        <v>0</v>
      </c>
      <c r="BZ152" s="11">
        <v>0</v>
      </c>
      <c r="CA152" s="11">
        <v>0</v>
      </c>
      <c r="CB152" s="11">
        <v>0</v>
      </c>
      <c r="CC152" s="11">
        <f>SUM(CD152+CT152)</f>
        <v>0</v>
      </c>
      <c r="CD152" s="11">
        <f>SUM(CE152+CH152+CM152)</f>
        <v>0</v>
      </c>
      <c r="CE152" s="11">
        <f t="shared" si="339"/>
        <v>0</v>
      </c>
      <c r="CF152" s="11">
        <v>0</v>
      </c>
      <c r="CG152" s="11">
        <v>0</v>
      </c>
      <c r="CH152" s="11">
        <f>SUM(CI152:CL152)</f>
        <v>0</v>
      </c>
      <c r="CI152" s="11">
        <v>0</v>
      </c>
      <c r="CJ152" s="11">
        <v>0</v>
      </c>
      <c r="CK152" s="11">
        <v>0</v>
      </c>
      <c r="CL152" s="11">
        <v>0</v>
      </c>
      <c r="CM152" s="11">
        <f>SUM(CN152:CQ152)</f>
        <v>0</v>
      </c>
      <c r="CN152" s="11">
        <v>0</v>
      </c>
      <c r="CO152" s="11">
        <v>0</v>
      </c>
      <c r="CP152" s="11"/>
      <c r="CQ152" s="11">
        <v>0</v>
      </c>
      <c r="CR152" s="11">
        <v>0</v>
      </c>
      <c r="CS152" s="11">
        <v>0</v>
      </c>
      <c r="CT152" s="11">
        <v>0</v>
      </c>
      <c r="CU152" s="11">
        <f t="shared" si="340"/>
        <v>0</v>
      </c>
      <c r="CV152" s="11">
        <f t="shared" si="341"/>
        <v>0</v>
      </c>
      <c r="CW152" s="11">
        <v>0</v>
      </c>
      <c r="CX152" s="12">
        <v>0</v>
      </c>
    </row>
    <row r="153" spans="1:102" ht="31.5" x14ac:dyDescent="0.25">
      <c r="A153" s="7"/>
      <c r="B153" s="8" t="s">
        <v>279</v>
      </c>
      <c r="C153" s="8" t="s">
        <v>1</v>
      </c>
      <c r="D153" s="9" t="s">
        <v>280</v>
      </c>
      <c r="E153" s="10">
        <f t="shared" ref="E153:BT153" si="342">SUM(E154:E159)</f>
        <v>9662344</v>
      </c>
      <c r="F153" s="11">
        <f t="shared" si="342"/>
        <v>9443482</v>
      </c>
      <c r="G153" s="11">
        <f t="shared" si="342"/>
        <v>8983702</v>
      </c>
      <c r="H153" s="11">
        <f t="shared" si="342"/>
        <v>6044385</v>
      </c>
      <c r="I153" s="11">
        <f t="shared" si="342"/>
        <v>1426376</v>
      </c>
      <c r="J153" s="11">
        <f t="shared" si="342"/>
        <v>301171</v>
      </c>
      <c r="K153" s="11">
        <f t="shared" si="342"/>
        <v>56590</v>
      </c>
      <c r="L153" s="11">
        <f t="shared" si="342"/>
        <v>0</v>
      </c>
      <c r="M153" s="11">
        <f t="shared" si="342"/>
        <v>0</v>
      </c>
      <c r="N153" s="11">
        <f t="shared" si="342"/>
        <v>0</v>
      </c>
      <c r="O153" s="11">
        <f t="shared" si="342"/>
        <v>116290</v>
      </c>
      <c r="P153" s="11">
        <f t="shared" si="342"/>
        <v>128291</v>
      </c>
      <c r="Q153" s="11">
        <f t="shared" si="342"/>
        <v>1741</v>
      </c>
      <c r="R153" s="11">
        <f t="shared" si="342"/>
        <v>1741</v>
      </c>
      <c r="S153" s="11">
        <f t="shared" si="342"/>
        <v>0</v>
      </c>
      <c r="T153" s="11">
        <f t="shared" si="342"/>
        <v>0</v>
      </c>
      <c r="U153" s="11">
        <f t="shared" si="342"/>
        <v>67940</v>
      </c>
      <c r="V153" s="11">
        <f t="shared" si="342"/>
        <v>339453</v>
      </c>
      <c r="W153" s="11">
        <f t="shared" si="342"/>
        <v>772</v>
      </c>
      <c r="X153" s="11">
        <f t="shared" si="342"/>
        <v>167615</v>
      </c>
      <c r="Y153" s="11">
        <f t="shared" si="342"/>
        <v>133306</v>
      </c>
      <c r="Z153" s="11">
        <f t="shared" si="342"/>
        <v>37760</v>
      </c>
      <c r="AA153" s="11">
        <f t="shared" si="342"/>
        <v>0</v>
      </c>
      <c r="AB153" s="11">
        <f t="shared" si="342"/>
        <v>0</v>
      </c>
      <c r="AC153" s="11">
        <f t="shared" si="342"/>
        <v>0</v>
      </c>
      <c r="AD153" s="11">
        <f t="shared" si="342"/>
        <v>0</v>
      </c>
      <c r="AE153" s="11">
        <f t="shared" si="342"/>
        <v>0</v>
      </c>
      <c r="AF153" s="11">
        <f t="shared" si="342"/>
        <v>802636</v>
      </c>
      <c r="AG153" s="11">
        <f t="shared" si="342"/>
        <v>0</v>
      </c>
      <c r="AH153" s="11">
        <f t="shared" si="342"/>
        <v>0</v>
      </c>
      <c r="AI153" s="11">
        <f t="shared" si="342"/>
        <v>225</v>
      </c>
      <c r="AJ153" s="11">
        <f t="shared" si="342"/>
        <v>0</v>
      </c>
      <c r="AK153" s="11">
        <f t="shared" si="342"/>
        <v>0</v>
      </c>
      <c r="AL153" s="11">
        <f t="shared" si="342"/>
        <v>329</v>
      </c>
      <c r="AM153" s="11">
        <f t="shared" si="342"/>
        <v>0</v>
      </c>
      <c r="AN153" s="11">
        <f t="shared" si="342"/>
        <v>0</v>
      </c>
      <c r="AO153" s="11">
        <f t="shared" si="342"/>
        <v>0</v>
      </c>
      <c r="AP153" s="11">
        <f t="shared" si="342"/>
        <v>0</v>
      </c>
      <c r="AQ153" s="11">
        <f t="shared" si="342"/>
        <v>0</v>
      </c>
      <c r="AR153" s="11">
        <f t="shared" ref="AR153" si="343">SUM(AR154:AR159)</f>
        <v>0</v>
      </c>
      <c r="AS153" s="11">
        <f t="shared" si="342"/>
        <v>0</v>
      </c>
      <c r="AT153" s="11">
        <f t="shared" si="342"/>
        <v>20041</v>
      </c>
      <c r="AU153" s="11">
        <f t="shared" si="342"/>
        <v>32800</v>
      </c>
      <c r="AV153" s="11"/>
      <c r="AW153" s="11"/>
      <c r="AX153" s="11">
        <f t="shared" si="342"/>
        <v>0</v>
      </c>
      <c r="AY153" s="11">
        <f t="shared" si="342"/>
        <v>0</v>
      </c>
      <c r="AZ153" s="11">
        <f t="shared" si="342"/>
        <v>0</v>
      </c>
      <c r="BA153" s="11">
        <f t="shared" si="342"/>
        <v>0</v>
      </c>
      <c r="BB153" s="11">
        <f t="shared" si="342"/>
        <v>749241</v>
      </c>
      <c r="BC153" s="11">
        <f t="shared" si="342"/>
        <v>459780</v>
      </c>
      <c r="BD153" s="11">
        <f t="shared" si="342"/>
        <v>0</v>
      </c>
      <c r="BE153" s="11">
        <f t="shared" si="342"/>
        <v>0</v>
      </c>
      <c r="BF153" s="11">
        <f t="shared" si="342"/>
        <v>0</v>
      </c>
      <c r="BG153" s="11">
        <f t="shared" si="342"/>
        <v>0</v>
      </c>
      <c r="BH153" s="11">
        <f t="shared" si="342"/>
        <v>0</v>
      </c>
      <c r="BI153" s="11">
        <f t="shared" si="342"/>
        <v>0</v>
      </c>
      <c r="BJ153" s="11">
        <f t="shared" si="342"/>
        <v>0</v>
      </c>
      <c r="BK153" s="11">
        <f t="shared" si="342"/>
        <v>0</v>
      </c>
      <c r="BL153" s="11">
        <f t="shared" si="342"/>
        <v>0</v>
      </c>
      <c r="BM153" s="11">
        <f t="shared" si="342"/>
        <v>0</v>
      </c>
      <c r="BN153" s="11">
        <f t="shared" si="342"/>
        <v>0</v>
      </c>
      <c r="BO153" s="11">
        <f t="shared" si="342"/>
        <v>0</v>
      </c>
      <c r="BP153" s="11">
        <f t="shared" ref="BP153" si="344">SUM(BP154:BP159)</f>
        <v>0</v>
      </c>
      <c r="BQ153" s="11">
        <f t="shared" si="342"/>
        <v>459780</v>
      </c>
      <c r="BR153" s="11">
        <f t="shared" si="342"/>
        <v>0</v>
      </c>
      <c r="BS153" s="11">
        <f t="shared" si="342"/>
        <v>0</v>
      </c>
      <c r="BT153" s="11">
        <f t="shared" si="342"/>
        <v>459780</v>
      </c>
      <c r="BU153" s="11">
        <f t="shared" ref="BU153:CX153" si="345">SUM(BU154:BU159)</f>
        <v>0</v>
      </c>
      <c r="BV153" s="11">
        <f t="shared" si="345"/>
        <v>0</v>
      </c>
      <c r="BW153" s="11">
        <f t="shared" si="345"/>
        <v>0</v>
      </c>
      <c r="BX153" s="11">
        <f t="shared" si="345"/>
        <v>0</v>
      </c>
      <c r="BY153" s="11">
        <f t="shared" si="345"/>
        <v>0</v>
      </c>
      <c r="BZ153" s="11">
        <f t="shared" si="345"/>
        <v>0</v>
      </c>
      <c r="CA153" s="11">
        <f t="shared" si="345"/>
        <v>0</v>
      </c>
      <c r="CB153" s="11">
        <f t="shared" si="345"/>
        <v>0</v>
      </c>
      <c r="CC153" s="11">
        <f t="shared" si="345"/>
        <v>218862</v>
      </c>
      <c r="CD153" s="11">
        <f t="shared" si="345"/>
        <v>218862</v>
      </c>
      <c r="CE153" s="11">
        <f t="shared" si="345"/>
        <v>218862</v>
      </c>
      <c r="CF153" s="11">
        <f t="shared" si="345"/>
        <v>0</v>
      </c>
      <c r="CG153" s="11">
        <f t="shared" si="345"/>
        <v>218862</v>
      </c>
      <c r="CH153" s="11">
        <f t="shared" si="345"/>
        <v>0</v>
      </c>
      <c r="CI153" s="11">
        <f t="shared" si="345"/>
        <v>0</v>
      </c>
      <c r="CJ153" s="11">
        <f t="shared" si="345"/>
        <v>0</v>
      </c>
      <c r="CK153" s="11">
        <f t="shared" si="345"/>
        <v>0</v>
      </c>
      <c r="CL153" s="11">
        <f t="shared" si="345"/>
        <v>0</v>
      </c>
      <c r="CM153" s="11">
        <f t="shared" si="345"/>
        <v>0</v>
      </c>
      <c r="CN153" s="11">
        <f t="shared" si="345"/>
        <v>0</v>
      </c>
      <c r="CO153" s="11">
        <f t="shared" si="345"/>
        <v>0</v>
      </c>
      <c r="CP153" s="11"/>
      <c r="CQ153" s="11">
        <f t="shared" si="345"/>
        <v>0</v>
      </c>
      <c r="CR153" s="11">
        <f t="shared" si="345"/>
        <v>0</v>
      </c>
      <c r="CS153" s="11">
        <f t="shared" si="345"/>
        <v>0</v>
      </c>
      <c r="CT153" s="11">
        <f t="shared" si="345"/>
        <v>0</v>
      </c>
      <c r="CU153" s="11">
        <f t="shared" si="345"/>
        <v>0</v>
      </c>
      <c r="CV153" s="11">
        <f t="shared" si="345"/>
        <v>0</v>
      </c>
      <c r="CW153" s="11">
        <f t="shared" si="345"/>
        <v>0</v>
      </c>
      <c r="CX153" s="12">
        <f t="shared" si="345"/>
        <v>0</v>
      </c>
    </row>
    <row r="154" spans="1:102" ht="15.75" x14ac:dyDescent="0.25">
      <c r="A154" s="13" t="s">
        <v>1</v>
      </c>
      <c r="B154" s="14" t="s">
        <v>1</v>
      </c>
      <c r="C154" s="14" t="s">
        <v>84</v>
      </c>
      <c r="D154" s="15" t="s">
        <v>281</v>
      </c>
      <c r="E154" s="10">
        <f t="shared" ref="E154:E159" si="346">SUM(F154+CC154+CU154)</f>
        <v>3751527</v>
      </c>
      <c r="F154" s="11">
        <f t="shared" ref="F154:F159" si="347">SUM(G154+BC154)</f>
        <v>3558906</v>
      </c>
      <c r="G154" s="11">
        <f t="shared" ref="G154:G159" si="348">SUM(H154+I154+J154+Q154+T154+U154+V154+AF154+AE154)</f>
        <v>3099126</v>
      </c>
      <c r="H154" s="16">
        <f>1926215+102731</f>
        <v>2028946</v>
      </c>
      <c r="I154" s="16">
        <f>460002+25683</f>
        <v>485685</v>
      </c>
      <c r="J154" s="11">
        <f t="shared" ref="J154:J159" si="349">SUM(K154:P154)</f>
        <v>206838</v>
      </c>
      <c r="K154" s="16">
        <f>0+5201</f>
        <v>5201</v>
      </c>
      <c r="L154" s="16"/>
      <c r="M154" s="16"/>
      <c r="N154" s="16"/>
      <c r="O154" s="16">
        <f>15970+89361</f>
        <v>105331</v>
      </c>
      <c r="P154" s="16">
        <f>9942+86364</f>
        <v>96306</v>
      </c>
      <c r="Q154" s="11">
        <f t="shared" si="334"/>
        <v>0</v>
      </c>
      <c r="R154" s="11">
        <v>0</v>
      </c>
      <c r="S154" s="11">
        <v>0</v>
      </c>
      <c r="T154" s="11">
        <v>0</v>
      </c>
      <c r="U154" s="16">
        <v>40123</v>
      </c>
      <c r="V154" s="11">
        <f t="shared" ref="V154:V159" si="350">SUM(W154:AD154)</f>
        <v>272166</v>
      </c>
      <c r="W154" s="16">
        <v>772</v>
      </c>
      <c r="X154" s="16">
        <v>112160</v>
      </c>
      <c r="Y154" s="16">
        <v>123950</v>
      </c>
      <c r="Z154" s="16">
        <v>35284</v>
      </c>
      <c r="AA154" s="16"/>
      <c r="AB154" s="16"/>
      <c r="AC154" s="16"/>
      <c r="AD154" s="16"/>
      <c r="AE154" s="11">
        <v>0</v>
      </c>
      <c r="AF154" s="11">
        <f t="shared" ref="AF154:AF159" si="351">SUM(AG154:BB154)</f>
        <v>65368</v>
      </c>
      <c r="AG154" s="11">
        <v>0</v>
      </c>
      <c r="AH154" s="11">
        <v>0</v>
      </c>
      <c r="AI154" s="16">
        <v>225</v>
      </c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>
        <f>0+20041</f>
        <v>20041</v>
      </c>
      <c r="AU154" s="16">
        <f>0+32800</f>
        <v>32800</v>
      </c>
      <c r="AV154" s="16"/>
      <c r="AW154" s="11"/>
      <c r="AX154" s="11">
        <v>0</v>
      </c>
      <c r="AY154" s="11">
        <v>0</v>
      </c>
      <c r="AZ154" s="11">
        <v>0</v>
      </c>
      <c r="BA154" s="11">
        <v>0</v>
      </c>
      <c r="BB154" s="16">
        <f>196+12106</f>
        <v>12302</v>
      </c>
      <c r="BC154" s="11">
        <f t="shared" ref="BC154:BC159" si="352">SUM(BD154+BH154+BL154+BN154+BQ154)</f>
        <v>459780</v>
      </c>
      <c r="BD154" s="11">
        <f t="shared" ref="BD154:BD159" si="353">SUM(BE154:BG154)</f>
        <v>0</v>
      </c>
      <c r="BE154" s="11">
        <v>0</v>
      </c>
      <c r="BF154" s="11">
        <v>0</v>
      </c>
      <c r="BG154" s="11">
        <v>0</v>
      </c>
      <c r="BH154" s="11">
        <f t="shared" si="336"/>
        <v>0</v>
      </c>
      <c r="BI154" s="11">
        <v>0</v>
      </c>
      <c r="BJ154" s="11">
        <v>0</v>
      </c>
      <c r="BK154" s="11">
        <v>0</v>
      </c>
      <c r="BL154" s="11">
        <v>0</v>
      </c>
      <c r="BM154" s="11">
        <v>0</v>
      </c>
      <c r="BN154" s="11">
        <f t="shared" si="337"/>
        <v>0</v>
      </c>
      <c r="BO154" s="11">
        <v>0</v>
      </c>
      <c r="BP154" s="11">
        <v>0</v>
      </c>
      <c r="BQ154" s="11">
        <f t="shared" si="338"/>
        <v>459780</v>
      </c>
      <c r="BR154" s="11">
        <v>0</v>
      </c>
      <c r="BS154" s="11">
        <v>0</v>
      </c>
      <c r="BT154" s="11">
        <v>459780</v>
      </c>
      <c r="BU154" s="11">
        <v>0</v>
      </c>
      <c r="BV154" s="11">
        <v>0</v>
      </c>
      <c r="BW154" s="11">
        <v>0</v>
      </c>
      <c r="BX154" s="11">
        <v>0</v>
      </c>
      <c r="BY154" s="11">
        <v>0</v>
      </c>
      <c r="BZ154" s="11">
        <v>0</v>
      </c>
      <c r="CA154" s="11">
        <v>0</v>
      </c>
      <c r="CB154" s="11">
        <v>0</v>
      </c>
      <c r="CC154" s="11">
        <f t="shared" ref="CC154:CC159" si="354">SUM(CD154+CT154)</f>
        <v>192621</v>
      </c>
      <c r="CD154" s="11">
        <f t="shared" ref="CD154:CD159" si="355">SUM(CE154+CH154+CM154)</f>
        <v>192621</v>
      </c>
      <c r="CE154" s="11">
        <f t="shared" si="339"/>
        <v>192621</v>
      </c>
      <c r="CF154" s="11">
        <v>0</v>
      </c>
      <c r="CG154" s="16">
        <f>0+192621</f>
        <v>192621</v>
      </c>
      <c r="CH154" s="11">
        <f t="shared" ref="CH154:CH159" si="356">SUM(CI154:CL154)</f>
        <v>0</v>
      </c>
      <c r="CI154" s="11">
        <v>0</v>
      </c>
      <c r="CJ154" s="11">
        <v>0</v>
      </c>
      <c r="CK154" s="11">
        <v>0</v>
      </c>
      <c r="CL154" s="11">
        <v>0</v>
      </c>
      <c r="CM154" s="11">
        <f t="shared" ref="CM154:CM159" si="357">SUM(CN154:CQ154)</f>
        <v>0</v>
      </c>
      <c r="CN154" s="11">
        <v>0</v>
      </c>
      <c r="CO154" s="11">
        <v>0</v>
      </c>
      <c r="CP154" s="11"/>
      <c r="CQ154" s="11">
        <v>0</v>
      </c>
      <c r="CR154" s="11">
        <v>0</v>
      </c>
      <c r="CS154" s="11">
        <v>0</v>
      </c>
      <c r="CT154" s="11">
        <v>0</v>
      </c>
      <c r="CU154" s="11">
        <f t="shared" si="340"/>
        <v>0</v>
      </c>
      <c r="CV154" s="11">
        <f t="shared" si="341"/>
        <v>0</v>
      </c>
      <c r="CW154" s="11">
        <v>0</v>
      </c>
      <c r="CX154" s="12">
        <v>0</v>
      </c>
    </row>
    <row r="155" spans="1:102" ht="15.75" x14ac:dyDescent="0.25">
      <c r="A155" s="13" t="s">
        <v>1</v>
      </c>
      <c r="B155" s="14" t="s">
        <v>1</v>
      </c>
      <c r="C155" s="14" t="s">
        <v>96</v>
      </c>
      <c r="D155" s="15" t="s">
        <v>282</v>
      </c>
      <c r="E155" s="10">
        <f t="shared" si="346"/>
        <v>1743202</v>
      </c>
      <c r="F155" s="11">
        <f t="shared" si="347"/>
        <v>1743202</v>
      </c>
      <c r="G155" s="11">
        <f t="shared" si="348"/>
        <v>1743202</v>
      </c>
      <c r="H155" s="16">
        <f>1024106+54619+240000</f>
        <v>1318725</v>
      </c>
      <c r="I155" s="16">
        <f>239432+13655+60000</f>
        <v>313087</v>
      </c>
      <c r="J155" s="11">
        <f t="shared" si="349"/>
        <v>37993</v>
      </c>
      <c r="K155" s="16">
        <f>0+11389</f>
        <v>11389</v>
      </c>
      <c r="L155" s="16"/>
      <c r="M155" s="16"/>
      <c r="N155" s="16"/>
      <c r="O155" s="16">
        <v>10959</v>
      </c>
      <c r="P155" s="16">
        <f>0+15645</f>
        <v>15645</v>
      </c>
      <c r="Q155" s="11">
        <f>SUM(R155:S155)</f>
        <v>0</v>
      </c>
      <c r="R155" s="11">
        <v>0</v>
      </c>
      <c r="S155" s="11">
        <v>0</v>
      </c>
      <c r="T155" s="11">
        <v>0</v>
      </c>
      <c r="U155" s="16">
        <v>6110</v>
      </c>
      <c r="V155" s="11">
        <f t="shared" si="350"/>
        <v>67287</v>
      </c>
      <c r="W155" s="16"/>
      <c r="X155" s="16">
        <v>55455</v>
      </c>
      <c r="Y155" s="16">
        <v>9356</v>
      </c>
      <c r="Z155" s="16">
        <v>2476</v>
      </c>
      <c r="AA155" s="16"/>
      <c r="AB155" s="16"/>
      <c r="AC155" s="16"/>
      <c r="AD155" s="16"/>
      <c r="AE155" s="11">
        <v>0</v>
      </c>
      <c r="AF155" s="11">
        <f t="shared" si="351"/>
        <v>0</v>
      </c>
      <c r="AG155" s="11">
        <v>0</v>
      </c>
      <c r="AH155" s="11">
        <v>0</v>
      </c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1"/>
      <c r="AX155" s="11">
        <v>0</v>
      </c>
      <c r="AY155" s="11">
        <v>0</v>
      </c>
      <c r="AZ155" s="11">
        <v>0</v>
      </c>
      <c r="BA155" s="11">
        <v>0</v>
      </c>
      <c r="BB155" s="16"/>
      <c r="BC155" s="11">
        <f t="shared" si="352"/>
        <v>0</v>
      </c>
      <c r="BD155" s="11">
        <f t="shared" si="353"/>
        <v>0</v>
      </c>
      <c r="BE155" s="11">
        <v>0</v>
      </c>
      <c r="BF155" s="11">
        <v>0</v>
      </c>
      <c r="BG155" s="11">
        <v>0</v>
      </c>
      <c r="BH155" s="11">
        <f>SUM(BJ155:BK155)</f>
        <v>0</v>
      </c>
      <c r="BI155" s="11">
        <v>0</v>
      </c>
      <c r="BJ155" s="11">
        <v>0</v>
      </c>
      <c r="BK155" s="11">
        <v>0</v>
      </c>
      <c r="BL155" s="11">
        <v>0</v>
      </c>
      <c r="BM155" s="11">
        <v>0</v>
      </c>
      <c r="BN155" s="11">
        <f>SUM(BO155)</f>
        <v>0</v>
      </c>
      <c r="BO155" s="11">
        <v>0</v>
      </c>
      <c r="BP155" s="11">
        <v>0</v>
      </c>
      <c r="BQ155" s="11">
        <f>SUM(BR155:CB155)</f>
        <v>0</v>
      </c>
      <c r="BR155" s="11">
        <v>0</v>
      </c>
      <c r="BS155" s="11">
        <v>0</v>
      </c>
      <c r="BT155" s="11">
        <v>0</v>
      </c>
      <c r="BU155" s="11">
        <v>0</v>
      </c>
      <c r="BV155" s="11">
        <v>0</v>
      </c>
      <c r="BW155" s="11">
        <v>0</v>
      </c>
      <c r="BX155" s="11">
        <v>0</v>
      </c>
      <c r="BY155" s="11">
        <v>0</v>
      </c>
      <c r="BZ155" s="11">
        <v>0</v>
      </c>
      <c r="CA155" s="11">
        <v>0</v>
      </c>
      <c r="CB155" s="11">
        <v>0</v>
      </c>
      <c r="CC155" s="11">
        <f t="shared" si="354"/>
        <v>0</v>
      </c>
      <c r="CD155" s="11">
        <f t="shared" si="355"/>
        <v>0</v>
      </c>
      <c r="CE155" s="11">
        <f>SUM(CF155:CG155)</f>
        <v>0</v>
      </c>
      <c r="CF155" s="11">
        <v>0</v>
      </c>
      <c r="CG155" s="16"/>
      <c r="CH155" s="11">
        <f t="shared" si="356"/>
        <v>0</v>
      </c>
      <c r="CI155" s="11">
        <v>0</v>
      </c>
      <c r="CJ155" s="11">
        <v>0</v>
      </c>
      <c r="CK155" s="11">
        <v>0</v>
      </c>
      <c r="CL155" s="11">
        <v>0</v>
      </c>
      <c r="CM155" s="11">
        <f t="shared" si="357"/>
        <v>0</v>
      </c>
      <c r="CN155" s="11">
        <v>0</v>
      </c>
      <c r="CO155" s="11">
        <v>0</v>
      </c>
      <c r="CP155" s="11"/>
      <c r="CQ155" s="11">
        <v>0</v>
      </c>
      <c r="CR155" s="11">
        <v>0</v>
      </c>
      <c r="CS155" s="11">
        <v>0</v>
      </c>
      <c r="CT155" s="11">
        <v>0</v>
      </c>
      <c r="CU155" s="11">
        <f>SUM(CV155)</f>
        <v>0</v>
      </c>
      <c r="CV155" s="11">
        <f>SUM(CW155:CX155)</f>
        <v>0</v>
      </c>
      <c r="CW155" s="11">
        <v>0</v>
      </c>
      <c r="CX155" s="12">
        <v>0</v>
      </c>
    </row>
    <row r="156" spans="1:102" ht="15.75" x14ac:dyDescent="0.25">
      <c r="A156" s="13" t="s">
        <v>1</v>
      </c>
      <c r="B156" s="14" t="s">
        <v>1</v>
      </c>
      <c r="C156" s="14" t="s">
        <v>96</v>
      </c>
      <c r="D156" s="15" t="s">
        <v>283</v>
      </c>
      <c r="E156" s="10">
        <f t="shared" si="346"/>
        <v>2660471</v>
      </c>
      <c r="F156" s="11">
        <f t="shared" si="347"/>
        <v>2651641</v>
      </c>
      <c r="G156" s="11">
        <f t="shared" si="348"/>
        <v>2651641</v>
      </c>
      <c r="H156" s="16">
        <f>1855501+98960</f>
        <v>1954461</v>
      </c>
      <c r="I156" s="16">
        <f>429375+24740</f>
        <v>454115</v>
      </c>
      <c r="J156" s="11">
        <f t="shared" si="349"/>
        <v>47634</v>
      </c>
      <c r="K156" s="16">
        <v>40000</v>
      </c>
      <c r="L156" s="16"/>
      <c r="M156" s="16"/>
      <c r="N156" s="16"/>
      <c r="O156" s="16"/>
      <c r="P156" s="16">
        <f>1836+5798</f>
        <v>7634</v>
      </c>
      <c r="Q156" s="11">
        <f t="shared" si="334"/>
        <v>0</v>
      </c>
      <c r="R156" s="11">
        <v>0</v>
      </c>
      <c r="S156" s="11">
        <v>0</v>
      </c>
      <c r="T156" s="11">
        <v>0</v>
      </c>
      <c r="U156" s="16">
        <v>7137</v>
      </c>
      <c r="V156" s="11">
        <f t="shared" si="350"/>
        <v>0</v>
      </c>
      <c r="W156" s="16"/>
      <c r="X156" s="16"/>
      <c r="Y156" s="16"/>
      <c r="Z156" s="16"/>
      <c r="AA156" s="16"/>
      <c r="AB156" s="16"/>
      <c r="AC156" s="16"/>
      <c r="AD156" s="16"/>
      <c r="AE156" s="11">
        <v>0</v>
      </c>
      <c r="AF156" s="11">
        <f t="shared" si="351"/>
        <v>188294</v>
      </c>
      <c r="AG156" s="11">
        <v>0</v>
      </c>
      <c r="AH156" s="11">
        <v>0</v>
      </c>
      <c r="AI156" s="16"/>
      <c r="AJ156" s="16"/>
      <c r="AK156" s="16"/>
      <c r="AL156" s="16">
        <v>329</v>
      </c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1"/>
      <c r="AX156" s="11">
        <v>0</v>
      </c>
      <c r="AY156" s="11">
        <v>0</v>
      </c>
      <c r="AZ156" s="11">
        <v>0</v>
      </c>
      <c r="BA156" s="11">
        <v>0</v>
      </c>
      <c r="BB156" s="16">
        <f>174089-14628+28504</f>
        <v>187965</v>
      </c>
      <c r="BC156" s="11">
        <f t="shared" si="352"/>
        <v>0</v>
      </c>
      <c r="BD156" s="11">
        <f t="shared" si="353"/>
        <v>0</v>
      </c>
      <c r="BE156" s="11">
        <v>0</v>
      </c>
      <c r="BF156" s="11">
        <v>0</v>
      </c>
      <c r="BG156" s="11">
        <v>0</v>
      </c>
      <c r="BH156" s="11">
        <f t="shared" si="336"/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v>0</v>
      </c>
      <c r="BN156" s="11">
        <f t="shared" si="337"/>
        <v>0</v>
      </c>
      <c r="BO156" s="11">
        <v>0</v>
      </c>
      <c r="BP156" s="11">
        <v>0</v>
      </c>
      <c r="BQ156" s="11">
        <f t="shared" si="338"/>
        <v>0</v>
      </c>
      <c r="BR156" s="11">
        <v>0</v>
      </c>
      <c r="BS156" s="11">
        <v>0</v>
      </c>
      <c r="BT156" s="11">
        <v>0</v>
      </c>
      <c r="BU156" s="11">
        <v>0</v>
      </c>
      <c r="BV156" s="11">
        <v>0</v>
      </c>
      <c r="BW156" s="11">
        <v>0</v>
      </c>
      <c r="BX156" s="11">
        <v>0</v>
      </c>
      <c r="BY156" s="11">
        <v>0</v>
      </c>
      <c r="BZ156" s="11">
        <v>0</v>
      </c>
      <c r="CA156" s="11">
        <v>0</v>
      </c>
      <c r="CB156" s="11">
        <v>0</v>
      </c>
      <c r="CC156" s="11">
        <f t="shared" si="354"/>
        <v>8830</v>
      </c>
      <c r="CD156" s="11">
        <f t="shared" si="355"/>
        <v>8830</v>
      </c>
      <c r="CE156" s="11">
        <f t="shared" si="339"/>
        <v>8830</v>
      </c>
      <c r="CF156" s="11">
        <v>0</v>
      </c>
      <c r="CG156" s="16">
        <f>0+8830</f>
        <v>8830</v>
      </c>
      <c r="CH156" s="11">
        <f t="shared" si="356"/>
        <v>0</v>
      </c>
      <c r="CI156" s="11">
        <v>0</v>
      </c>
      <c r="CJ156" s="11">
        <v>0</v>
      </c>
      <c r="CK156" s="11">
        <v>0</v>
      </c>
      <c r="CL156" s="11">
        <v>0</v>
      </c>
      <c r="CM156" s="11">
        <f t="shared" si="357"/>
        <v>0</v>
      </c>
      <c r="CN156" s="11">
        <v>0</v>
      </c>
      <c r="CO156" s="11">
        <v>0</v>
      </c>
      <c r="CP156" s="11"/>
      <c r="CQ156" s="11">
        <v>0</v>
      </c>
      <c r="CR156" s="11">
        <v>0</v>
      </c>
      <c r="CS156" s="11">
        <v>0</v>
      </c>
      <c r="CT156" s="11">
        <v>0</v>
      </c>
      <c r="CU156" s="11">
        <f t="shared" si="340"/>
        <v>0</v>
      </c>
      <c r="CV156" s="11">
        <f t="shared" si="341"/>
        <v>0</v>
      </c>
      <c r="CW156" s="11">
        <v>0</v>
      </c>
      <c r="CX156" s="12">
        <v>0</v>
      </c>
    </row>
    <row r="157" spans="1:102" ht="15.75" x14ac:dyDescent="0.25">
      <c r="A157" s="13" t="s">
        <v>1</v>
      </c>
      <c r="B157" s="14" t="s">
        <v>1</v>
      </c>
      <c r="C157" s="14" t="s">
        <v>96</v>
      </c>
      <c r="D157" s="15" t="s">
        <v>284</v>
      </c>
      <c r="E157" s="10">
        <f t="shared" si="346"/>
        <v>701060</v>
      </c>
      <c r="F157" s="11">
        <f t="shared" si="347"/>
        <v>701060</v>
      </c>
      <c r="G157" s="11">
        <f t="shared" si="348"/>
        <v>701060</v>
      </c>
      <c r="H157" s="16">
        <f>530556+28296</f>
        <v>558852</v>
      </c>
      <c r="I157" s="16">
        <f>120564+7074</f>
        <v>127638</v>
      </c>
      <c r="J157" s="11">
        <f t="shared" si="349"/>
        <v>0</v>
      </c>
      <c r="K157" s="16"/>
      <c r="L157" s="16"/>
      <c r="M157" s="16"/>
      <c r="N157" s="16"/>
      <c r="O157" s="16"/>
      <c r="P157" s="16"/>
      <c r="Q157" s="11">
        <f>SUM(R157:S157)</f>
        <v>0</v>
      </c>
      <c r="R157" s="11">
        <v>0</v>
      </c>
      <c r="S157" s="11">
        <v>0</v>
      </c>
      <c r="T157" s="11">
        <v>0</v>
      </c>
      <c r="U157" s="16">
        <v>14570</v>
      </c>
      <c r="V157" s="11">
        <f t="shared" si="350"/>
        <v>0</v>
      </c>
      <c r="W157" s="16"/>
      <c r="X157" s="16"/>
      <c r="Y157" s="16"/>
      <c r="Z157" s="16"/>
      <c r="AA157" s="16"/>
      <c r="AB157" s="16"/>
      <c r="AC157" s="16"/>
      <c r="AD157" s="16"/>
      <c r="AE157" s="11">
        <v>0</v>
      </c>
      <c r="AF157" s="11">
        <f t="shared" si="351"/>
        <v>0</v>
      </c>
      <c r="AG157" s="11">
        <v>0</v>
      </c>
      <c r="AH157" s="11">
        <v>0</v>
      </c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1"/>
      <c r="AX157" s="11">
        <v>0</v>
      </c>
      <c r="AY157" s="11">
        <v>0</v>
      </c>
      <c r="AZ157" s="11">
        <v>0</v>
      </c>
      <c r="BA157" s="11">
        <v>0</v>
      </c>
      <c r="BB157" s="16"/>
      <c r="BC157" s="11">
        <f t="shared" si="352"/>
        <v>0</v>
      </c>
      <c r="BD157" s="11">
        <f t="shared" si="353"/>
        <v>0</v>
      </c>
      <c r="BE157" s="11">
        <v>0</v>
      </c>
      <c r="BF157" s="11">
        <v>0</v>
      </c>
      <c r="BG157" s="11">
        <v>0</v>
      </c>
      <c r="BH157" s="11">
        <f>SUM(BJ157:BK157)</f>
        <v>0</v>
      </c>
      <c r="BI157" s="11">
        <v>0</v>
      </c>
      <c r="BJ157" s="11">
        <v>0</v>
      </c>
      <c r="BK157" s="11">
        <v>0</v>
      </c>
      <c r="BL157" s="11">
        <v>0</v>
      </c>
      <c r="BM157" s="11">
        <v>0</v>
      </c>
      <c r="BN157" s="11">
        <f>SUM(BO157)</f>
        <v>0</v>
      </c>
      <c r="BO157" s="11">
        <v>0</v>
      </c>
      <c r="BP157" s="11">
        <v>0</v>
      </c>
      <c r="BQ157" s="11">
        <f>SUM(BR157:CB157)</f>
        <v>0</v>
      </c>
      <c r="BR157" s="11">
        <v>0</v>
      </c>
      <c r="BS157" s="11">
        <v>0</v>
      </c>
      <c r="BT157" s="11">
        <v>0</v>
      </c>
      <c r="BU157" s="11">
        <v>0</v>
      </c>
      <c r="BV157" s="11">
        <v>0</v>
      </c>
      <c r="BW157" s="11">
        <v>0</v>
      </c>
      <c r="BX157" s="11">
        <v>0</v>
      </c>
      <c r="BY157" s="11">
        <v>0</v>
      </c>
      <c r="BZ157" s="11">
        <v>0</v>
      </c>
      <c r="CA157" s="11">
        <v>0</v>
      </c>
      <c r="CB157" s="11">
        <v>0</v>
      </c>
      <c r="CC157" s="11">
        <f t="shared" si="354"/>
        <v>0</v>
      </c>
      <c r="CD157" s="11">
        <f t="shared" si="355"/>
        <v>0</v>
      </c>
      <c r="CE157" s="11">
        <f>SUM(CF157:CG157)</f>
        <v>0</v>
      </c>
      <c r="CF157" s="11">
        <v>0</v>
      </c>
      <c r="CG157" s="16"/>
      <c r="CH157" s="11">
        <f t="shared" si="356"/>
        <v>0</v>
      </c>
      <c r="CI157" s="11">
        <v>0</v>
      </c>
      <c r="CJ157" s="11">
        <v>0</v>
      </c>
      <c r="CK157" s="11">
        <v>0</v>
      </c>
      <c r="CL157" s="11">
        <v>0</v>
      </c>
      <c r="CM157" s="11">
        <f t="shared" si="357"/>
        <v>0</v>
      </c>
      <c r="CN157" s="11">
        <v>0</v>
      </c>
      <c r="CO157" s="11">
        <v>0</v>
      </c>
      <c r="CP157" s="11"/>
      <c r="CQ157" s="11">
        <v>0</v>
      </c>
      <c r="CR157" s="11">
        <v>0</v>
      </c>
      <c r="CS157" s="11">
        <v>0</v>
      </c>
      <c r="CT157" s="11">
        <v>0</v>
      </c>
      <c r="CU157" s="11">
        <f>SUM(CV157)</f>
        <v>0</v>
      </c>
      <c r="CV157" s="11">
        <f>SUM(CW157:CX157)</f>
        <v>0</v>
      </c>
      <c r="CW157" s="11">
        <v>0</v>
      </c>
      <c r="CX157" s="12">
        <v>0</v>
      </c>
    </row>
    <row r="158" spans="1:102" ht="31.5" x14ac:dyDescent="0.25">
      <c r="A158" s="13" t="s">
        <v>1</v>
      </c>
      <c r="B158" s="14" t="s">
        <v>1</v>
      </c>
      <c r="C158" s="14" t="s">
        <v>98</v>
      </c>
      <c r="D158" s="15" t="s">
        <v>453</v>
      </c>
      <c r="E158" s="10">
        <f t="shared" si="346"/>
        <v>257110</v>
      </c>
      <c r="F158" s="11">
        <f t="shared" si="347"/>
        <v>239699</v>
      </c>
      <c r="G158" s="11">
        <f t="shared" si="348"/>
        <v>239699</v>
      </c>
      <c r="H158" s="16">
        <f>174115+9286</f>
        <v>183401</v>
      </c>
      <c r="I158" s="16">
        <f>43529+2322</f>
        <v>45851</v>
      </c>
      <c r="J158" s="11">
        <f t="shared" si="349"/>
        <v>8706</v>
      </c>
      <c r="K158" s="16"/>
      <c r="L158" s="16"/>
      <c r="M158" s="16"/>
      <c r="N158" s="16"/>
      <c r="O158" s="16"/>
      <c r="P158" s="16">
        <v>8706</v>
      </c>
      <c r="Q158" s="11">
        <f>SUM(R158:S158)</f>
        <v>1741</v>
      </c>
      <c r="R158" s="11">
        <v>1741</v>
      </c>
      <c r="S158" s="11">
        <v>0</v>
      </c>
      <c r="T158" s="11">
        <v>0</v>
      </c>
      <c r="U158" s="16"/>
      <c r="V158" s="11">
        <f t="shared" si="350"/>
        <v>0</v>
      </c>
      <c r="W158" s="16"/>
      <c r="X158" s="16"/>
      <c r="Y158" s="16"/>
      <c r="Z158" s="16"/>
      <c r="AA158" s="16"/>
      <c r="AB158" s="16"/>
      <c r="AC158" s="16"/>
      <c r="AD158" s="16"/>
      <c r="AE158" s="11">
        <v>0</v>
      </c>
      <c r="AF158" s="11">
        <f t="shared" si="351"/>
        <v>0</v>
      </c>
      <c r="AG158" s="11">
        <v>0</v>
      </c>
      <c r="AH158" s="11">
        <v>0</v>
      </c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1"/>
      <c r="AX158" s="11">
        <v>0</v>
      </c>
      <c r="AY158" s="11">
        <v>0</v>
      </c>
      <c r="AZ158" s="11">
        <v>0</v>
      </c>
      <c r="BA158" s="11">
        <v>0</v>
      </c>
      <c r="BB158" s="16"/>
      <c r="BC158" s="11">
        <f t="shared" si="352"/>
        <v>0</v>
      </c>
      <c r="BD158" s="11">
        <f>SUM(BE158:BG158)</f>
        <v>0</v>
      </c>
      <c r="BE158" s="11">
        <v>0</v>
      </c>
      <c r="BF158" s="11">
        <v>0</v>
      </c>
      <c r="BG158" s="11">
        <v>0</v>
      </c>
      <c r="BH158" s="11">
        <f>SUM(BJ158:BK158)</f>
        <v>0</v>
      </c>
      <c r="BI158" s="11">
        <v>0</v>
      </c>
      <c r="BJ158" s="11">
        <v>0</v>
      </c>
      <c r="BK158" s="11">
        <v>0</v>
      </c>
      <c r="BL158" s="11">
        <v>0</v>
      </c>
      <c r="BM158" s="11">
        <v>0</v>
      </c>
      <c r="BN158" s="11">
        <f>SUM(BO158)</f>
        <v>0</v>
      </c>
      <c r="BO158" s="11">
        <v>0</v>
      </c>
      <c r="BP158" s="11">
        <v>0</v>
      </c>
      <c r="BQ158" s="11">
        <f>SUM(BR158:CB158)</f>
        <v>0</v>
      </c>
      <c r="BR158" s="11">
        <v>0</v>
      </c>
      <c r="BS158" s="11">
        <v>0</v>
      </c>
      <c r="BT158" s="11">
        <v>0</v>
      </c>
      <c r="BU158" s="11">
        <v>0</v>
      </c>
      <c r="BV158" s="11">
        <v>0</v>
      </c>
      <c r="BW158" s="11">
        <v>0</v>
      </c>
      <c r="BX158" s="11">
        <v>0</v>
      </c>
      <c r="BY158" s="11">
        <v>0</v>
      </c>
      <c r="BZ158" s="11">
        <v>0</v>
      </c>
      <c r="CA158" s="11">
        <v>0</v>
      </c>
      <c r="CB158" s="11">
        <v>0</v>
      </c>
      <c r="CC158" s="11">
        <f t="shared" si="354"/>
        <v>17411</v>
      </c>
      <c r="CD158" s="11">
        <f t="shared" si="355"/>
        <v>17411</v>
      </c>
      <c r="CE158" s="11">
        <f>SUM(CF158:CG158)</f>
        <v>17411</v>
      </c>
      <c r="CF158" s="11">
        <v>0</v>
      </c>
      <c r="CG158" s="16">
        <v>17411</v>
      </c>
      <c r="CH158" s="11">
        <f t="shared" si="356"/>
        <v>0</v>
      </c>
      <c r="CI158" s="11">
        <v>0</v>
      </c>
      <c r="CJ158" s="11">
        <v>0</v>
      </c>
      <c r="CK158" s="11">
        <v>0</v>
      </c>
      <c r="CL158" s="11">
        <v>0</v>
      </c>
      <c r="CM158" s="11">
        <f t="shared" si="357"/>
        <v>0</v>
      </c>
      <c r="CN158" s="11">
        <v>0</v>
      </c>
      <c r="CO158" s="11">
        <v>0</v>
      </c>
      <c r="CP158" s="11"/>
      <c r="CQ158" s="11">
        <v>0</v>
      </c>
      <c r="CR158" s="11">
        <v>0</v>
      </c>
      <c r="CS158" s="11">
        <v>0</v>
      </c>
      <c r="CT158" s="11">
        <v>0</v>
      </c>
      <c r="CU158" s="11">
        <f>SUM(CV158)</f>
        <v>0</v>
      </c>
      <c r="CV158" s="11">
        <f>SUM(CW158:CX158)</f>
        <v>0</v>
      </c>
      <c r="CW158" s="11">
        <v>0</v>
      </c>
      <c r="CX158" s="12">
        <v>0</v>
      </c>
    </row>
    <row r="159" spans="1:102" ht="31.5" x14ac:dyDescent="0.25">
      <c r="A159" s="13" t="s">
        <v>1</v>
      </c>
      <c r="B159" s="14" t="s">
        <v>1</v>
      </c>
      <c r="C159" s="14" t="s">
        <v>98</v>
      </c>
      <c r="D159" s="15" t="s">
        <v>285</v>
      </c>
      <c r="E159" s="10">
        <f t="shared" si="346"/>
        <v>548974</v>
      </c>
      <c r="F159" s="11">
        <f t="shared" si="347"/>
        <v>548974</v>
      </c>
      <c r="G159" s="11">
        <f t="shared" si="348"/>
        <v>548974</v>
      </c>
      <c r="H159" s="16"/>
      <c r="I159" s="16"/>
      <c r="J159" s="11">
        <f t="shared" si="349"/>
        <v>0</v>
      </c>
      <c r="K159" s="16"/>
      <c r="L159" s="16"/>
      <c r="M159" s="16"/>
      <c r="N159" s="16"/>
      <c r="O159" s="16"/>
      <c r="P159" s="16"/>
      <c r="Q159" s="11">
        <f t="shared" ref="Q159" si="358">SUM(R159:S159)</f>
        <v>0</v>
      </c>
      <c r="R159" s="11">
        <v>0</v>
      </c>
      <c r="S159" s="11">
        <v>0</v>
      </c>
      <c r="T159" s="11">
        <v>0</v>
      </c>
      <c r="U159" s="16"/>
      <c r="V159" s="11">
        <f t="shared" si="350"/>
        <v>0</v>
      </c>
      <c r="W159" s="16"/>
      <c r="X159" s="16"/>
      <c r="Y159" s="16"/>
      <c r="Z159" s="16"/>
      <c r="AA159" s="16"/>
      <c r="AB159" s="16"/>
      <c r="AC159" s="16"/>
      <c r="AD159" s="16"/>
      <c r="AE159" s="11">
        <v>0</v>
      </c>
      <c r="AF159" s="11">
        <f t="shared" si="351"/>
        <v>548974</v>
      </c>
      <c r="AG159" s="11">
        <v>0</v>
      </c>
      <c r="AH159" s="11">
        <v>0</v>
      </c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1"/>
      <c r="AX159" s="11">
        <v>0</v>
      </c>
      <c r="AY159" s="11">
        <v>0</v>
      </c>
      <c r="AZ159" s="11">
        <v>0</v>
      </c>
      <c r="BA159" s="11">
        <v>0</v>
      </c>
      <c r="BB159" s="16">
        <f>869091-123278-196839</f>
        <v>548974</v>
      </c>
      <c r="BC159" s="11">
        <f t="shared" si="352"/>
        <v>0</v>
      </c>
      <c r="BD159" s="11">
        <f t="shared" si="353"/>
        <v>0</v>
      </c>
      <c r="BE159" s="11">
        <v>0</v>
      </c>
      <c r="BF159" s="11">
        <v>0</v>
      </c>
      <c r="BG159" s="11">
        <v>0</v>
      </c>
      <c r="BH159" s="11">
        <f t="shared" ref="BH159" si="359">SUM(BJ159:BK159)</f>
        <v>0</v>
      </c>
      <c r="BI159" s="11">
        <v>0</v>
      </c>
      <c r="BJ159" s="11">
        <v>0</v>
      </c>
      <c r="BK159" s="11">
        <v>0</v>
      </c>
      <c r="BL159" s="11">
        <v>0</v>
      </c>
      <c r="BM159" s="11">
        <v>0</v>
      </c>
      <c r="BN159" s="11">
        <f t="shared" ref="BN159" si="360">SUM(BO159)</f>
        <v>0</v>
      </c>
      <c r="BO159" s="11">
        <v>0</v>
      </c>
      <c r="BP159" s="11">
        <v>0</v>
      </c>
      <c r="BQ159" s="11">
        <f t="shared" ref="BQ159" si="361">SUM(BR159:CB159)</f>
        <v>0</v>
      </c>
      <c r="BR159" s="11">
        <v>0</v>
      </c>
      <c r="BS159" s="11">
        <v>0</v>
      </c>
      <c r="BT159" s="11">
        <v>0</v>
      </c>
      <c r="BU159" s="11">
        <v>0</v>
      </c>
      <c r="BV159" s="11">
        <v>0</v>
      </c>
      <c r="BW159" s="11">
        <v>0</v>
      </c>
      <c r="BX159" s="11">
        <v>0</v>
      </c>
      <c r="BY159" s="11">
        <v>0</v>
      </c>
      <c r="BZ159" s="11">
        <v>0</v>
      </c>
      <c r="CA159" s="11">
        <v>0</v>
      </c>
      <c r="CB159" s="11">
        <v>0</v>
      </c>
      <c r="CC159" s="11">
        <f t="shared" si="354"/>
        <v>0</v>
      </c>
      <c r="CD159" s="11">
        <f t="shared" si="355"/>
        <v>0</v>
      </c>
      <c r="CE159" s="11">
        <f t="shared" ref="CE159" si="362">SUM(CF159:CG159)</f>
        <v>0</v>
      </c>
      <c r="CF159" s="11">
        <v>0</v>
      </c>
      <c r="CG159" s="16"/>
      <c r="CH159" s="11">
        <f t="shared" si="356"/>
        <v>0</v>
      </c>
      <c r="CI159" s="11">
        <v>0</v>
      </c>
      <c r="CJ159" s="11">
        <v>0</v>
      </c>
      <c r="CK159" s="11">
        <v>0</v>
      </c>
      <c r="CL159" s="11">
        <v>0</v>
      </c>
      <c r="CM159" s="11">
        <f t="shared" si="357"/>
        <v>0</v>
      </c>
      <c r="CN159" s="11">
        <v>0</v>
      </c>
      <c r="CO159" s="11">
        <v>0</v>
      </c>
      <c r="CP159" s="11"/>
      <c r="CQ159" s="11">
        <v>0</v>
      </c>
      <c r="CR159" s="11">
        <v>0</v>
      </c>
      <c r="CS159" s="11">
        <v>0</v>
      </c>
      <c r="CT159" s="11">
        <v>0</v>
      </c>
      <c r="CU159" s="11">
        <f t="shared" ref="CU159" si="363">SUM(CV159)</f>
        <v>0</v>
      </c>
      <c r="CV159" s="11">
        <f t="shared" ref="CV159" si="364">SUM(CW159:CX159)</f>
        <v>0</v>
      </c>
      <c r="CW159" s="11">
        <v>0</v>
      </c>
      <c r="CX159" s="12">
        <v>0</v>
      </c>
    </row>
    <row r="160" spans="1:102" ht="31.5" x14ac:dyDescent="0.25">
      <c r="A160" s="18" t="s">
        <v>286</v>
      </c>
      <c r="B160" s="19" t="s">
        <v>1</v>
      </c>
      <c r="C160" s="19" t="s">
        <v>1</v>
      </c>
      <c r="D160" s="20" t="s">
        <v>287</v>
      </c>
      <c r="E160" s="21">
        <f t="shared" ref="E160:AU160" si="365">SUM(E161+E166)</f>
        <v>46684264</v>
      </c>
      <c r="F160" s="22">
        <f t="shared" si="365"/>
        <v>44820873</v>
      </c>
      <c r="G160" s="22">
        <f t="shared" si="365"/>
        <v>44820873</v>
      </c>
      <c r="H160" s="22">
        <f t="shared" si="365"/>
        <v>28104799</v>
      </c>
      <c r="I160" s="22">
        <f t="shared" si="365"/>
        <v>6740361</v>
      </c>
      <c r="J160" s="22">
        <f t="shared" si="365"/>
        <v>357968</v>
      </c>
      <c r="K160" s="22">
        <f t="shared" si="365"/>
        <v>0</v>
      </c>
      <c r="L160" s="22">
        <f t="shared" si="365"/>
        <v>0</v>
      </c>
      <c r="M160" s="22">
        <f t="shared" si="365"/>
        <v>0</v>
      </c>
      <c r="N160" s="22">
        <f t="shared" si="365"/>
        <v>0</v>
      </c>
      <c r="O160" s="22">
        <f t="shared" si="365"/>
        <v>317606</v>
      </c>
      <c r="P160" s="22">
        <f t="shared" si="365"/>
        <v>40362</v>
      </c>
      <c r="Q160" s="22">
        <f t="shared" si="365"/>
        <v>56109</v>
      </c>
      <c r="R160" s="22">
        <f t="shared" si="365"/>
        <v>0</v>
      </c>
      <c r="S160" s="22">
        <f t="shared" si="365"/>
        <v>56109</v>
      </c>
      <c r="T160" s="22">
        <f t="shared" si="365"/>
        <v>0</v>
      </c>
      <c r="U160" s="22">
        <f t="shared" si="365"/>
        <v>135845</v>
      </c>
      <c r="V160" s="22">
        <f t="shared" si="365"/>
        <v>119144</v>
      </c>
      <c r="W160" s="22">
        <f t="shared" si="365"/>
        <v>37487</v>
      </c>
      <c r="X160" s="22">
        <f t="shared" si="365"/>
        <v>0</v>
      </c>
      <c r="Y160" s="22">
        <f t="shared" si="365"/>
        <v>81657</v>
      </c>
      <c r="Z160" s="22">
        <f t="shared" si="365"/>
        <v>0</v>
      </c>
      <c r="AA160" s="22">
        <f t="shared" si="365"/>
        <v>0</v>
      </c>
      <c r="AB160" s="22">
        <f t="shared" si="365"/>
        <v>0</v>
      </c>
      <c r="AC160" s="22">
        <f t="shared" si="365"/>
        <v>0</v>
      </c>
      <c r="AD160" s="22">
        <f t="shared" si="365"/>
        <v>0</v>
      </c>
      <c r="AE160" s="22">
        <f t="shared" si="365"/>
        <v>0</v>
      </c>
      <c r="AF160" s="22">
        <f t="shared" si="365"/>
        <v>9306647</v>
      </c>
      <c r="AG160" s="22">
        <f t="shared" si="365"/>
        <v>0</v>
      </c>
      <c r="AH160" s="22">
        <f t="shared" si="365"/>
        <v>0</v>
      </c>
      <c r="AI160" s="22">
        <f t="shared" si="365"/>
        <v>1432</v>
      </c>
      <c r="AJ160" s="22">
        <f t="shared" si="365"/>
        <v>1053</v>
      </c>
      <c r="AK160" s="22">
        <f t="shared" si="365"/>
        <v>0</v>
      </c>
      <c r="AL160" s="22">
        <f t="shared" si="365"/>
        <v>0</v>
      </c>
      <c r="AM160" s="22">
        <f t="shared" si="365"/>
        <v>0</v>
      </c>
      <c r="AN160" s="22">
        <f t="shared" si="365"/>
        <v>0</v>
      </c>
      <c r="AO160" s="22">
        <f t="shared" si="365"/>
        <v>1258980</v>
      </c>
      <c r="AP160" s="22">
        <f t="shared" si="365"/>
        <v>0</v>
      </c>
      <c r="AQ160" s="22">
        <f t="shared" si="365"/>
        <v>0</v>
      </c>
      <c r="AR160" s="22">
        <f t="shared" ref="AR160" si="366">SUM(AR161+AR166)</f>
        <v>0</v>
      </c>
      <c r="AS160" s="22">
        <f t="shared" si="365"/>
        <v>0</v>
      </c>
      <c r="AT160" s="22">
        <f t="shared" si="365"/>
        <v>45182</v>
      </c>
      <c r="AU160" s="22">
        <f t="shared" si="365"/>
        <v>0</v>
      </c>
      <c r="AV160" s="22"/>
      <c r="AW160" s="22"/>
      <c r="AX160" s="22">
        <f t="shared" ref="AX160:CO160" si="367">SUM(AX161+AX166)</f>
        <v>0</v>
      </c>
      <c r="AY160" s="22">
        <f t="shared" si="367"/>
        <v>0</v>
      </c>
      <c r="AZ160" s="22">
        <f t="shared" si="367"/>
        <v>0</v>
      </c>
      <c r="BA160" s="22">
        <f t="shared" si="367"/>
        <v>0</v>
      </c>
      <c r="BB160" s="22">
        <f t="shared" si="367"/>
        <v>8000000</v>
      </c>
      <c r="BC160" s="22">
        <f t="shared" si="367"/>
        <v>0</v>
      </c>
      <c r="BD160" s="22">
        <f t="shared" si="367"/>
        <v>0</v>
      </c>
      <c r="BE160" s="22">
        <f t="shared" si="367"/>
        <v>0</v>
      </c>
      <c r="BF160" s="22">
        <f t="shared" si="367"/>
        <v>0</v>
      </c>
      <c r="BG160" s="22">
        <f t="shared" si="367"/>
        <v>0</v>
      </c>
      <c r="BH160" s="22">
        <f t="shared" si="367"/>
        <v>0</v>
      </c>
      <c r="BI160" s="22">
        <f t="shared" si="367"/>
        <v>0</v>
      </c>
      <c r="BJ160" s="22">
        <f t="shared" si="367"/>
        <v>0</v>
      </c>
      <c r="BK160" s="22">
        <f t="shared" si="367"/>
        <v>0</v>
      </c>
      <c r="BL160" s="22">
        <f t="shared" si="367"/>
        <v>0</v>
      </c>
      <c r="BM160" s="22">
        <f t="shared" si="367"/>
        <v>0</v>
      </c>
      <c r="BN160" s="22">
        <f t="shared" si="367"/>
        <v>0</v>
      </c>
      <c r="BO160" s="22">
        <f t="shared" si="367"/>
        <v>0</v>
      </c>
      <c r="BP160" s="22">
        <f t="shared" ref="BP160" si="368">SUM(BP161+BP166)</f>
        <v>0</v>
      </c>
      <c r="BQ160" s="22">
        <f t="shared" si="367"/>
        <v>0</v>
      </c>
      <c r="BR160" s="22">
        <f t="shared" si="367"/>
        <v>0</v>
      </c>
      <c r="BS160" s="22">
        <f t="shared" si="367"/>
        <v>0</v>
      </c>
      <c r="BT160" s="22">
        <f t="shared" si="367"/>
        <v>0</v>
      </c>
      <c r="BU160" s="22">
        <f t="shared" si="367"/>
        <v>0</v>
      </c>
      <c r="BV160" s="22">
        <f t="shared" si="367"/>
        <v>0</v>
      </c>
      <c r="BW160" s="22">
        <f t="shared" si="367"/>
        <v>0</v>
      </c>
      <c r="BX160" s="22">
        <f t="shared" si="367"/>
        <v>0</v>
      </c>
      <c r="BY160" s="22">
        <f t="shared" si="367"/>
        <v>0</v>
      </c>
      <c r="BZ160" s="22">
        <f t="shared" si="367"/>
        <v>0</v>
      </c>
      <c r="CA160" s="22">
        <f t="shared" si="367"/>
        <v>0</v>
      </c>
      <c r="CB160" s="22">
        <f t="shared" si="367"/>
        <v>0</v>
      </c>
      <c r="CC160" s="22">
        <f t="shared" si="367"/>
        <v>1863391</v>
      </c>
      <c r="CD160" s="22">
        <f t="shared" si="367"/>
        <v>1863391</v>
      </c>
      <c r="CE160" s="22">
        <f t="shared" si="367"/>
        <v>1460120</v>
      </c>
      <c r="CF160" s="22">
        <f t="shared" si="367"/>
        <v>0</v>
      </c>
      <c r="CG160" s="22">
        <f t="shared" si="367"/>
        <v>1460120</v>
      </c>
      <c r="CH160" s="22">
        <f t="shared" si="367"/>
        <v>0</v>
      </c>
      <c r="CI160" s="22">
        <f t="shared" si="367"/>
        <v>0</v>
      </c>
      <c r="CJ160" s="22">
        <f t="shared" si="367"/>
        <v>0</v>
      </c>
      <c r="CK160" s="22">
        <f t="shared" si="367"/>
        <v>0</v>
      </c>
      <c r="CL160" s="22">
        <f t="shared" si="367"/>
        <v>0</v>
      </c>
      <c r="CM160" s="22">
        <f t="shared" si="367"/>
        <v>403271</v>
      </c>
      <c r="CN160" s="22">
        <f t="shared" si="367"/>
        <v>403271</v>
      </c>
      <c r="CO160" s="22">
        <f t="shared" si="367"/>
        <v>0</v>
      </c>
      <c r="CP160" s="22"/>
      <c r="CQ160" s="22">
        <f t="shared" ref="CQ160:CX160" si="369">SUM(CQ161+CQ166)</f>
        <v>0</v>
      </c>
      <c r="CR160" s="22">
        <f t="shared" si="369"/>
        <v>0</v>
      </c>
      <c r="CS160" s="22">
        <f t="shared" si="369"/>
        <v>0</v>
      </c>
      <c r="CT160" s="22">
        <f t="shared" si="369"/>
        <v>0</v>
      </c>
      <c r="CU160" s="22">
        <f t="shared" si="369"/>
        <v>0</v>
      </c>
      <c r="CV160" s="22">
        <f t="shared" si="369"/>
        <v>0</v>
      </c>
      <c r="CW160" s="22">
        <f t="shared" si="369"/>
        <v>0</v>
      </c>
      <c r="CX160" s="23">
        <f t="shared" si="369"/>
        <v>0</v>
      </c>
    </row>
    <row r="161" spans="1:102" ht="15.75" x14ac:dyDescent="0.25">
      <c r="A161" s="7"/>
      <c r="B161" s="8" t="s">
        <v>288</v>
      </c>
      <c r="C161" s="8" t="s">
        <v>1</v>
      </c>
      <c r="D161" s="9" t="s">
        <v>289</v>
      </c>
      <c r="E161" s="10">
        <f t="shared" ref="E161:AU161" si="370">SUM(E162:E165)</f>
        <v>37445132</v>
      </c>
      <c r="F161" s="11">
        <f t="shared" si="370"/>
        <v>35985012</v>
      </c>
      <c r="G161" s="11">
        <f t="shared" si="370"/>
        <v>35985012</v>
      </c>
      <c r="H161" s="11">
        <f t="shared" si="370"/>
        <v>22046863</v>
      </c>
      <c r="I161" s="11">
        <f t="shared" si="370"/>
        <v>5304684</v>
      </c>
      <c r="J161" s="11">
        <f t="shared" si="370"/>
        <v>351055</v>
      </c>
      <c r="K161" s="11">
        <f t="shared" si="370"/>
        <v>0</v>
      </c>
      <c r="L161" s="11">
        <f t="shared" si="370"/>
        <v>0</v>
      </c>
      <c r="M161" s="11">
        <f t="shared" si="370"/>
        <v>0</v>
      </c>
      <c r="N161" s="11">
        <f t="shared" si="370"/>
        <v>0</v>
      </c>
      <c r="O161" s="11">
        <f t="shared" si="370"/>
        <v>311175</v>
      </c>
      <c r="P161" s="11">
        <f t="shared" si="370"/>
        <v>39880</v>
      </c>
      <c r="Q161" s="11">
        <f t="shared" si="370"/>
        <v>56109</v>
      </c>
      <c r="R161" s="11">
        <f t="shared" si="370"/>
        <v>0</v>
      </c>
      <c r="S161" s="11">
        <f t="shared" si="370"/>
        <v>56109</v>
      </c>
      <c r="T161" s="11">
        <f t="shared" si="370"/>
        <v>0</v>
      </c>
      <c r="U161" s="11">
        <f t="shared" si="370"/>
        <v>99462</v>
      </c>
      <c r="V161" s="11">
        <f t="shared" si="370"/>
        <v>81657</v>
      </c>
      <c r="W161" s="11">
        <f t="shared" si="370"/>
        <v>0</v>
      </c>
      <c r="X161" s="11">
        <f t="shared" si="370"/>
        <v>0</v>
      </c>
      <c r="Y161" s="11">
        <f t="shared" si="370"/>
        <v>81657</v>
      </c>
      <c r="Z161" s="11">
        <f t="shared" si="370"/>
        <v>0</v>
      </c>
      <c r="AA161" s="11">
        <f t="shared" si="370"/>
        <v>0</v>
      </c>
      <c r="AB161" s="11">
        <f t="shared" si="370"/>
        <v>0</v>
      </c>
      <c r="AC161" s="11">
        <f t="shared" si="370"/>
        <v>0</v>
      </c>
      <c r="AD161" s="11">
        <f t="shared" si="370"/>
        <v>0</v>
      </c>
      <c r="AE161" s="11">
        <f t="shared" si="370"/>
        <v>0</v>
      </c>
      <c r="AF161" s="11">
        <f t="shared" si="370"/>
        <v>8045182</v>
      </c>
      <c r="AG161" s="11">
        <f t="shared" si="370"/>
        <v>0</v>
      </c>
      <c r="AH161" s="11">
        <f t="shared" si="370"/>
        <v>0</v>
      </c>
      <c r="AI161" s="11">
        <f t="shared" si="370"/>
        <v>0</v>
      </c>
      <c r="AJ161" s="11">
        <f t="shared" si="370"/>
        <v>0</v>
      </c>
      <c r="AK161" s="11">
        <f t="shared" si="370"/>
        <v>0</v>
      </c>
      <c r="AL161" s="11">
        <f t="shared" si="370"/>
        <v>0</v>
      </c>
      <c r="AM161" s="11">
        <f t="shared" si="370"/>
        <v>0</v>
      </c>
      <c r="AN161" s="11">
        <f t="shared" si="370"/>
        <v>0</v>
      </c>
      <c r="AO161" s="11">
        <f t="shared" si="370"/>
        <v>0</v>
      </c>
      <c r="AP161" s="11">
        <f t="shared" si="370"/>
        <v>0</v>
      </c>
      <c r="AQ161" s="11">
        <f t="shared" si="370"/>
        <v>0</v>
      </c>
      <c r="AR161" s="11">
        <f t="shared" ref="AR161" si="371">SUM(AR162:AR165)</f>
        <v>0</v>
      </c>
      <c r="AS161" s="11">
        <f t="shared" si="370"/>
        <v>0</v>
      </c>
      <c r="AT161" s="11">
        <f t="shared" si="370"/>
        <v>45182</v>
      </c>
      <c r="AU161" s="11">
        <f t="shared" si="370"/>
        <v>0</v>
      </c>
      <c r="AV161" s="11"/>
      <c r="AW161" s="11"/>
      <c r="AX161" s="11">
        <f t="shared" ref="AX161:CO161" si="372">SUM(AX162:AX165)</f>
        <v>0</v>
      </c>
      <c r="AY161" s="11">
        <f t="shared" si="372"/>
        <v>0</v>
      </c>
      <c r="AZ161" s="11">
        <f t="shared" si="372"/>
        <v>0</v>
      </c>
      <c r="BA161" s="11">
        <f t="shared" si="372"/>
        <v>0</v>
      </c>
      <c r="BB161" s="11">
        <f t="shared" si="372"/>
        <v>8000000</v>
      </c>
      <c r="BC161" s="11">
        <f t="shared" si="372"/>
        <v>0</v>
      </c>
      <c r="BD161" s="11">
        <f t="shared" si="372"/>
        <v>0</v>
      </c>
      <c r="BE161" s="11">
        <f t="shared" si="372"/>
        <v>0</v>
      </c>
      <c r="BF161" s="11">
        <f t="shared" si="372"/>
        <v>0</v>
      </c>
      <c r="BG161" s="11">
        <f t="shared" si="372"/>
        <v>0</v>
      </c>
      <c r="BH161" s="11">
        <f t="shared" si="372"/>
        <v>0</v>
      </c>
      <c r="BI161" s="11">
        <f t="shared" si="372"/>
        <v>0</v>
      </c>
      <c r="BJ161" s="11">
        <f t="shared" si="372"/>
        <v>0</v>
      </c>
      <c r="BK161" s="11">
        <f t="shared" si="372"/>
        <v>0</v>
      </c>
      <c r="BL161" s="11">
        <f t="shared" si="372"/>
        <v>0</v>
      </c>
      <c r="BM161" s="11">
        <f t="shared" si="372"/>
        <v>0</v>
      </c>
      <c r="BN161" s="11">
        <f t="shared" si="372"/>
        <v>0</v>
      </c>
      <c r="BO161" s="11">
        <f t="shared" si="372"/>
        <v>0</v>
      </c>
      <c r="BP161" s="11">
        <f t="shared" ref="BP161" si="373">SUM(BP162:BP165)</f>
        <v>0</v>
      </c>
      <c r="BQ161" s="11">
        <f t="shared" si="372"/>
        <v>0</v>
      </c>
      <c r="BR161" s="11">
        <f t="shared" si="372"/>
        <v>0</v>
      </c>
      <c r="BS161" s="11">
        <f t="shared" si="372"/>
        <v>0</v>
      </c>
      <c r="BT161" s="11">
        <f t="shared" si="372"/>
        <v>0</v>
      </c>
      <c r="BU161" s="11">
        <f t="shared" si="372"/>
        <v>0</v>
      </c>
      <c r="BV161" s="11">
        <f t="shared" si="372"/>
        <v>0</v>
      </c>
      <c r="BW161" s="11">
        <f t="shared" si="372"/>
        <v>0</v>
      </c>
      <c r="BX161" s="11">
        <f t="shared" si="372"/>
        <v>0</v>
      </c>
      <c r="BY161" s="11">
        <f t="shared" si="372"/>
        <v>0</v>
      </c>
      <c r="BZ161" s="11">
        <f t="shared" si="372"/>
        <v>0</v>
      </c>
      <c r="CA161" s="11">
        <f t="shared" si="372"/>
        <v>0</v>
      </c>
      <c r="CB161" s="11">
        <f t="shared" si="372"/>
        <v>0</v>
      </c>
      <c r="CC161" s="11">
        <f t="shared" si="372"/>
        <v>1460120</v>
      </c>
      <c r="CD161" s="11">
        <f t="shared" si="372"/>
        <v>1460120</v>
      </c>
      <c r="CE161" s="11">
        <f t="shared" si="372"/>
        <v>1460120</v>
      </c>
      <c r="CF161" s="11">
        <f t="shared" si="372"/>
        <v>0</v>
      </c>
      <c r="CG161" s="11">
        <f t="shared" si="372"/>
        <v>1460120</v>
      </c>
      <c r="CH161" s="11">
        <f t="shared" si="372"/>
        <v>0</v>
      </c>
      <c r="CI161" s="11">
        <f t="shared" si="372"/>
        <v>0</v>
      </c>
      <c r="CJ161" s="11">
        <f t="shared" si="372"/>
        <v>0</v>
      </c>
      <c r="CK161" s="11">
        <f t="shared" si="372"/>
        <v>0</v>
      </c>
      <c r="CL161" s="11">
        <f t="shared" si="372"/>
        <v>0</v>
      </c>
      <c r="CM161" s="11">
        <f t="shared" si="372"/>
        <v>0</v>
      </c>
      <c r="CN161" s="11">
        <f t="shared" si="372"/>
        <v>0</v>
      </c>
      <c r="CO161" s="11">
        <f t="shared" si="372"/>
        <v>0</v>
      </c>
      <c r="CP161" s="11"/>
      <c r="CQ161" s="11">
        <f t="shared" ref="CQ161:CX161" si="374">SUM(CQ162:CQ165)</f>
        <v>0</v>
      </c>
      <c r="CR161" s="11">
        <f t="shared" si="374"/>
        <v>0</v>
      </c>
      <c r="CS161" s="11">
        <f t="shared" si="374"/>
        <v>0</v>
      </c>
      <c r="CT161" s="11">
        <f t="shared" si="374"/>
        <v>0</v>
      </c>
      <c r="CU161" s="11">
        <f t="shared" si="374"/>
        <v>0</v>
      </c>
      <c r="CV161" s="11">
        <f t="shared" si="374"/>
        <v>0</v>
      </c>
      <c r="CW161" s="11">
        <f t="shared" si="374"/>
        <v>0</v>
      </c>
      <c r="CX161" s="12">
        <f t="shared" si="374"/>
        <v>0</v>
      </c>
    </row>
    <row r="162" spans="1:102" ht="15.75" x14ac:dyDescent="0.25">
      <c r="A162" s="13"/>
      <c r="B162" s="14" t="s">
        <v>1</v>
      </c>
      <c r="C162" s="14" t="s">
        <v>100</v>
      </c>
      <c r="D162" s="15" t="s">
        <v>290</v>
      </c>
      <c r="E162" s="10">
        <f>SUM(F162+CC162+CU162)</f>
        <v>0</v>
      </c>
      <c r="F162" s="11">
        <f>SUM(G162+BC162)</f>
        <v>0</v>
      </c>
      <c r="G162" s="11">
        <f>SUM(H162+I162+J162+Q162+T162+U162+V162+AF162+AE162)</f>
        <v>0</v>
      </c>
      <c r="H162" s="11">
        <f>20930566-20930566</f>
        <v>0</v>
      </c>
      <c r="I162" s="11">
        <f>5025610-5025610</f>
        <v>0</v>
      </c>
      <c r="J162" s="11">
        <f>SUM(K162:P162)</f>
        <v>0</v>
      </c>
      <c r="K162" s="11">
        <v>0</v>
      </c>
      <c r="L162" s="11">
        <v>0</v>
      </c>
      <c r="M162" s="11">
        <v>0</v>
      </c>
      <c r="N162" s="11">
        <v>0</v>
      </c>
      <c r="O162" s="16">
        <f>311175-311175</f>
        <v>0</v>
      </c>
      <c r="P162" s="16">
        <f>39880-39880</f>
        <v>0</v>
      </c>
      <c r="Q162" s="11">
        <f t="shared" si="334"/>
        <v>0</v>
      </c>
      <c r="R162" s="11">
        <v>0</v>
      </c>
      <c r="S162" s="11">
        <f>56109-56109</f>
        <v>0</v>
      </c>
      <c r="T162" s="11">
        <v>0</v>
      </c>
      <c r="U162" s="16">
        <f>100252-100252</f>
        <v>0</v>
      </c>
      <c r="V162" s="11">
        <f t="shared" ref="V162:V165" si="375">SUM(W162:AD162)</f>
        <v>0</v>
      </c>
      <c r="W162" s="11">
        <v>0</v>
      </c>
      <c r="X162" s="11">
        <v>0</v>
      </c>
      <c r="Y162" s="11">
        <f>81657-81657</f>
        <v>0</v>
      </c>
      <c r="Z162" s="11">
        <v>0</v>
      </c>
      <c r="AA162" s="11">
        <v>0</v>
      </c>
      <c r="AB162" s="11"/>
      <c r="AC162" s="11">
        <v>0</v>
      </c>
      <c r="AD162" s="11">
        <v>0</v>
      </c>
      <c r="AE162" s="11">
        <v>0</v>
      </c>
      <c r="AF162" s="11">
        <f>SUM(AG162:BB162)</f>
        <v>0</v>
      </c>
      <c r="AG162" s="11">
        <v>0</v>
      </c>
      <c r="AH162" s="11">
        <v>0</v>
      </c>
      <c r="AI162" s="11">
        <v>0</v>
      </c>
      <c r="AJ162" s="11"/>
      <c r="AK162" s="11">
        <v>0</v>
      </c>
      <c r="AL162" s="11">
        <v>0</v>
      </c>
      <c r="AM162" s="11">
        <v>0</v>
      </c>
      <c r="AN162" s="11"/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f>45182-45182</f>
        <v>0</v>
      </c>
      <c r="AU162" s="11">
        <v>0</v>
      </c>
      <c r="AV162" s="11"/>
      <c r="AW162" s="11"/>
      <c r="AX162" s="11">
        <v>0</v>
      </c>
      <c r="AY162" s="11">
        <v>0</v>
      </c>
      <c r="AZ162" s="11">
        <v>0</v>
      </c>
      <c r="BA162" s="11">
        <v>0</v>
      </c>
      <c r="BB162" s="11"/>
      <c r="BC162" s="11">
        <f>SUM(BD162+BH162+BL162+BN162+BQ162)</f>
        <v>0</v>
      </c>
      <c r="BD162" s="11">
        <f>SUM(BE162:BG162)</f>
        <v>0</v>
      </c>
      <c r="BE162" s="11">
        <v>0</v>
      </c>
      <c r="BF162" s="11">
        <v>0</v>
      </c>
      <c r="BG162" s="11">
        <v>0</v>
      </c>
      <c r="BH162" s="11">
        <f t="shared" si="336"/>
        <v>0</v>
      </c>
      <c r="BI162" s="11">
        <v>0</v>
      </c>
      <c r="BJ162" s="11">
        <v>0</v>
      </c>
      <c r="BK162" s="11">
        <v>0</v>
      </c>
      <c r="BL162" s="11">
        <v>0</v>
      </c>
      <c r="BM162" s="11">
        <v>0</v>
      </c>
      <c r="BN162" s="11">
        <f t="shared" si="337"/>
        <v>0</v>
      </c>
      <c r="BO162" s="11">
        <v>0</v>
      </c>
      <c r="BP162" s="11">
        <v>0</v>
      </c>
      <c r="BQ162" s="11">
        <f t="shared" si="338"/>
        <v>0</v>
      </c>
      <c r="BR162" s="11">
        <v>0</v>
      </c>
      <c r="BS162" s="11">
        <v>0</v>
      </c>
      <c r="BT162" s="11">
        <v>0</v>
      </c>
      <c r="BU162" s="11">
        <v>0</v>
      </c>
      <c r="BV162" s="11">
        <v>0</v>
      </c>
      <c r="BW162" s="11">
        <v>0</v>
      </c>
      <c r="BX162" s="11">
        <v>0</v>
      </c>
      <c r="BY162" s="11">
        <v>0</v>
      </c>
      <c r="BZ162" s="11">
        <v>0</v>
      </c>
      <c r="CA162" s="11">
        <v>0</v>
      </c>
      <c r="CB162" s="11">
        <v>0</v>
      </c>
      <c r="CC162" s="11">
        <f>SUM(CD162+CT162)</f>
        <v>0</v>
      </c>
      <c r="CD162" s="11">
        <f>SUM(CE162+CH162+CM162)</f>
        <v>0</v>
      </c>
      <c r="CE162" s="11">
        <f t="shared" si="339"/>
        <v>0</v>
      </c>
      <c r="CF162" s="11">
        <v>0</v>
      </c>
      <c r="CG162" s="11">
        <f>1460120-1460120</f>
        <v>0</v>
      </c>
      <c r="CH162" s="11">
        <f>SUM(CI162:CL162)</f>
        <v>0</v>
      </c>
      <c r="CI162" s="11">
        <v>0</v>
      </c>
      <c r="CJ162" s="11">
        <v>0</v>
      </c>
      <c r="CK162" s="11">
        <v>0</v>
      </c>
      <c r="CL162" s="11">
        <v>0</v>
      </c>
      <c r="CM162" s="11">
        <f>SUM(CN162:CQ162)</f>
        <v>0</v>
      </c>
      <c r="CN162" s="11">
        <v>0</v>
      </c>
      <c r="CO162" s="11">
        <v>0</v>
      </c>
      <c r="CP162" s="11"/>
      <c r="CQ162" s="11">
        <v>0</v>
      </c>
      <c r="CR162" s="11">
        <v>0</v>
      </c>
      <c r="CS162" s="11">
        <v>0</v>
      </c>
      <c r="CT162" s="11">
        <v>0</v>
      </c>
      <c r="CU162" s="11">
        <f t="shared" si="340"/>
        <v>0</v>
      </c>
      <c r="CV162" s="11">
        <f t="shared" si="341"/>
        <v>0</v>
      </c>
      <c r="CW162" s="11">
        <v>0</v>
      </c>
      <c r="CX162" s="12">
        <v>0</v>
      </c>
    </row>
    <row r="163" spans="1:102" ht="15.75" x14ac:dyDescent="0.25">
      <c r="A163" s="13"/>
      <c r="B163" s="14"/>
      <c r="C163" s="14" t="s">
        <v>102</v>
      </c>
      <c r="D163" s="15" t="s">
        <v>291</v>
      </c>
      <c r="E163" s="10">
        <f>SUM(F163+CC163+CU163)</f>
        <v>0</v>
      </c>
      <c r="F163" s="11">
        <f>SUM(G163+BC163)</f>
        <v>0</v>
      </c>
      <c r="G163" s="11">
        <f>SUM(H163+I163+J163+Q163+T163+U163+V163+AF163+AE163)</f>
        <v>0</v>
      </c>
      <c r="H163" s="11">
        <v>0</v>
      </c>
      <c r="I163" s="11">
        <v>0</v>
      </c>
      <c r="J163" s="11">
        <f>SUM(K163:P163)</f>
        <v>0</v>
      </c>
      <c r="K163" s="11">
        <v>0</v>
      </c>
      <c r="L163" s="11">
        <v>0</v>
      </c>
      <c r="M163" s="11">
        <v>0</v>
      </c>
      <c r="N163" s="11">
        <v>0</v>
      </c>
      <c r="O163" s="16"/>
      <c r="P163" s="16"/>
      <c r="Q163" s="11">
        <f t="shared" ref="Q163:Q164" si="376">SUM(R163:S163)</f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f t="shared" ref="V163:V164" si="377">SUM(W163:AD163)</f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f>SUM(AG163:BB163)</f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0</v>
      </c>
      <c r="AS163" s="11">
        <v>0</v>
      </c>
      <c r="AT163" s="11">
        <v>0</v>
      </c>
      <c r="AU163" s="11">
        <v>0</v>
      </c>
      <c r="AV163" s="11"/>
      <c r="AW163" s="11"/>
      <c r="AX163" s="11">
        <v>0</v>
      </c>
      <c r="AY163" s="11">
        <v>0</v>
      </c>
      <c r="AZ163" s="11">
        <v>0</v>
      </c>
      <c r="BA163" s="11">
        <v>0</v>
      </c>
      <c r="BB163" s="11">
        <f>8000000-8000000</f>
        <v>0</v>
      </c>
      <c r="BC163" s="11">
        <f>SUM(BD163+BH163+BL163+BN163+BQ163)</f>
        <v>0</v>
      </c>
      <c r="BD163" s="11">
        <f>SUM(BE163:BG163)</f>
        <v>0</v>
      </c>
      <c r="BE163" s="11">
        <v>0</v>
      </c>
      <c r="BF163" s="11">
        <v>0</v>
      </c>
      <c r="BG163" s="11">
        <v>0</v>
      </c>
      <c r="BH163" s="11">
        <f t="shared" ref="BH163:BH164" si="378">SUM(BJ163:BK163)</f>
        <v>0</v>
      </c>
      <c r="BI163" s="11">
        <v>0</v>
      </c>
      <c r="BJ163" s="11">
        <v>0</v>
      </c>
      <c r="BK163" s="11">
        <v>0</v>
      </c>
      <c r="BL163" s="11">
        <v>0</v>
      </c>
      <c r="BM163" s="11">
        <v>0</v>
      </c>
      <c r="BN163" s="11">
        <f t="shared" ref="BN163:BN164" si="379">SUM(BO163)</f>
        <v>0</v>
      </c>
      <c r="BO163" s="11">
        <v>0</v>
      </c>
      <c r="BP163" s="11">
        <v>0</v>
      </c>
      <c r="BQ163" s="11">
        <f t="shared" ref="BQ163:BQ164" si="380">SUM(BR163:CB163)</f>
        <v>0</v>
      </c>
      <c r="BR163" s="11">
        <v>0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</v>
      </c>
      <c r="BY163" s="11">
        <v>0</v>
      </c>
      <c r="BZ163" s="11">
        <v>0</v>
      </c>
      <c r="CA163" s="11">
        <v>0</v>
      </c>
      <c r="CB163" s="11">
        <v>0</v>
      </c>
      <c r="CC163" s="11">
        <f>SUM(CD163+CT163)</f>
        <v>0</v>
      </c>
      <c r="CD163" s="11">
        <f>SUM(CE163+CH163+CM163)</f>
        <v>0</v>
      </c>
      <c r="CE163" s="11">
        <f t="shared" ref="CE163:CE164" si="381">SUM(CF163:CG163)</f>
        <v>0</v>
      </c>
      <c r="CF163" s="11">
        <v>0</v>
      </c>
      <c r="CG163" s="11">
        <v>0</v>
      </c>
      <c r="CH163" s="11">
        <f>SUM(CI163:CL163)</f>
        <v>0</v>
      </c>
      <c r="CI163" s="11">
        <v>0</v>
      </c>
      <c r="CJ163" s="11">
        <v>0</v>
      </c>
      <c r="CK163" s="11">
        <v>0</v>
      </c>
      <c r="CL163" s="11">
        <v>0</v>
      </c>
      <c r="CM163" s="11">
        <f>SUM(CN163:CQ163)</f>
        <v>0</v>
      </c>
      <c r="CN163" s="11">
        <v>0</v>
      </c>
      <c r="CO163" s="11">
        <v>0</v>
      </c>
      <c r="CP163" s="11"/>
      <c r="CQ163" s="11">
        <v>0</v>
      </c>
      <c r="CR163" s="11">
        <v>0</v>
      </c>
      <c r="CS163" s="11">
        <v>0</v>
      </c>
      <c r="CT163" s="11">
        <v>0</v>
      </c>
      <c r="CU163" s="11">
        <f t="shared" ref="CU163:CU164" si="382">SUM(CV163)</f>
        <v>0</v>
      </c>
      <c r="CV163" s="11">
        <f t="shared" ref="CV163:CV164" si="383">SUM(CW163:CX163)</f>
        <v>0</v>
      </c>
      <c r="CW163" s="11">
        <v>0</v>
      </c>
      <c r="CX163" s="12">
        <v>0</v>
      </c>
    </row>
    <row r="164" spans="1:102" ht="31.5" x14ac:dyDescent="0.25">
      <c r="A164" s="13"/>
      <c r="B164" s="14"/>
      <c r="C164" s="46" t="s">
        <v>113</v>
      </c>
      <c r="D164" s="45" t="s">
        <v>292</v>
      </c>
      <c r="E164" s="10">
        <f>SUM(F164+CC164+CU164)</f>
        <v>29445132</v>
      </c>
      <c r="F164" s="11">
        <f>SUM(G164+BC164)</f>
        <v>27985012</v>
      </c>
      <c r="G164" s="11">
        <f>SUM(H164+I164+J164+Q164+T164+U164+V164+AF164+AE164)</f>
        <v>27985012</v>
      </c>
      <c r="H164" s="11">
        <f>0+22046863</f>
        <v>22046863</v>
      </c>
      <c r="I164" s="11">
        <f>0+5304684</f>
        <v>5304684</v>
      </c>
      <c r="J164" s="11">
        <f>SUM(K164:P164)</f>
        <v>351055</v>
      </c>
      <c r="K164" s="11">
        <v>0</v>
      </c>
      <c r="L164" s="11">
        <v>0</v>
      </c>
      <c r="M164" s="11">
        <v>0</v>
      </c>
      <c r="N164" s="11">
        <v>0</v>
      </c>
      <c r="O164" s="16">
        <f>0+311175</f>
        <v>311175</v>
      </c>
      <c r="P164" s="16">
        <f>0+39880</f>
        <v>39880</v>
      </c>
      <c r="Q164" s="11">
        <f t="shared" si="376"/>
        <v>56109</v>
      </c>
      <c r="R164" s="11">
        <v>0</v>
      </c>
      <c r="S164" s="11">
        <f>0+56109</f>
        <v>56109</v>
      </c>
      <c r="T164" s="11">
        <v>0</v>
      </c>
      <c r="U164" s="11">
        <f>0+100252-790</f>
        <v>99462</v>
      </c>
      <c r="V164" s="11">
        <f t="shared" si="377"/>
        <v>81657</v>
      </c>
      <c r="W164" s="11">
        <v>0</v>
      </c>
      <c r="X164" s="11">
        <v>0</v>
      </c>
      <c r="Y164" s="11">
        <f>0+81657</f>
        <v>81657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f>SUM(AG164:BB164)</f>
        <v>45182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1">
        <f>0+45182</f>
        <v>45182</v>
      </c>
      <c r="AU164" s="11">
        <v>0</v>
      </c>
      <c r="AV164" s="11"/>
      <c r="AW164" s="11"/>
      <c r="AX164" s="11">
        <v>0</v>
      </c>
      <c r="AY164" s="11">
        <v>0</v>
      </c>
      <c r="AZ164" s="11">
        <v>0</v>
      </c>
      <c r="BA164" s="11">
        <v>0</v>
      </c>
      <c r="BB164" s="11"/>
      <c r="BC164" s="11">
        <f>SUM(BD164+BH164+BL164+BN164+BQ164)</f>
        <v>0</v>
      </c>
      <c r="BD164" s="11">
        <f>SUM(BE164:BG164)</f>
        <v>0</v>
      </c>
      <c r="BE164" s="11">
        <v>0</v>
      </c>
      <c r="BF164" s="11">
        <v>0</v>
      </c>
      <c r="BG164" s="11">
        <v>0</v>
      </c>
      <c r="BH164" s="11">
        <f t="shared" si="378"/>
        <v>0</v>
      </c>
      <c r="BI164" s="11">
        <v>0</v>
      </c>
      <c r="BJ164" s="11">
        <v>0</v>
      </c>
      <c r="BK164" s="11">
        <v>0</v>
      </c>
      <c r="BL164" s="11">
        <v>0</v>
      </c>
      <c r="BM164" s="11">
        <v>0</v>
      </c>
      <c r="BN164" s="11">
        <f t="shared" si="379"/>
        <v>0</v>
      </c>
      <c r="BO164" s="11">
        <v>0</v>
      </c>
      <c r="BP164" s="11">
        <v>0</v>
      </c>
      <c r="BQ164" s="11">
        <f t="shared" si="380"/>
        <v>0</v>
      </c>
      <c r="BR164" s="11">
        <v>0</v>
      </c>
      <c r="BS164" s="11">
        <v>0</v>
      </c>
      <c r="BT164" s="11">
        <v>0</v>
      </c>
      <c r="BU164" s="11">
        <v>0</v>
      </c>
      <c r="BV164" s="11">
        <v>0</v>
      </c>
      <c r="BW164" s="11">
        <v>0</v>
      </c>
      <c r="BX164" s="11">
        <v>0</v>
      </c>
      <c r="BY164" s="11">
        <v>0</v>
      </c>
      <c r="BZ164" s="11">
        <v>0</v>
      </c>
      <c r="CA164" s="11">
        <v>0</v>
      </c>
      <c r="CB164" s="11">
        <v>0</v>
      </c>
      <c r="CC164" s="11">
        <f>SUM(CD164+CT164)</f>
        <v>1460120</v>
      </c>
      <c r="CD164" s="11">
        <f>SUM(CE164+CH164+CM164)</f>
        <v>1460120</v>
      </c>
      <c r="CE164" s="11">
        <f t="shared" si="381"/>
        <v>1460120</v>
      </c>
      <c r="CF164" s="11">
        <v>0</v>
      </c>
      <c r="CG164" s="11">
        <f>0+1460120</f>
        <v>1460120</v>
      </c>
      <c r="CH164" s="11">
        <f>SUM(CI164:CL164)</f>
        <v>0</v>
      </c>
      <c r="CI164" s="11">
        <v>0</v>
      </c>
      <c r="CJ164" s="11">
        <v>0</v>
      </c>
      <c r="CK164" s="11">
        <v>0</v>
      </c>
      <c r="CL164" s="11">
        <v>0</v>
      </c>
      <c r="CM164" s="11">
        <f>SUM(CN164:CQ164)</f>
        <v>0</v>
      </c>
      <c r="CN164" s="11">
        <v>0</v>
      </c>
      <c r="CO164" s="11">
        <v>0</v>
      </c>
      <c r="CP164" s="11"/>
      <c r="CQ164" s="11">
        <v>0</v>
      </c>
      <c r="CR164" s="11">
        <v>0</v>
      </c>
      <c r="CS164" s="11">
        <v>0</v>
      </c>
      <c r="CT164" s="11">
        <v>0</v>
      </c>
      <c r="CU164" s="11">
        <f t="shared" si="382"/>
        <v>0</v>
      </c>
      <c r="CV164" s="11">
        <f t="shared" si="383"/>
        <v>0</v>
      </c>
      <c r="CW164" s="11">
        <v>0</v>
      </c>
      <c r="CX164" s="12">
        <v>0</v>
      </c>
    </row>
    <row r="165" spans="1:102" ht="31.5" x14ac:dyDescent="0.25">
      <c r="A165" s="13"/>
      <c r="B165" s="14" t="s">
        <v>1</v>
      </c>
      <c r="C165" s="46" t="s">
        <v>113</v>
      </c>
      <c r="D165" s="45" t="s">
        <v>293</v>
      </c>
      <c r="E165" s="10">
        <f>SUM(F165+CC165+CU165)</f>
        <v>8000000</v>
      </c>
      <c r="F165" s="11">
        <f>SUM(G165+BC165)</f>
        <v>8000000</v>
      </c>
      <c r="G165" s="11">
        <f>SUM(H165+I165+J165+Q165+T165+U165+V165+AF165+AE165)</f>
        <v>8000000</v>
      </c>
      <c r="H165" s="11">
        <v>0</v>
      </c>
      <c r="I165" s="11">
        <v>0</v>
      </c>
      <c r="J165" s="11">
        <f>SUM(K165:P165)</f>
        <v>0</v>
      </c>
      <c r="K165" s="11">
        <v>0</v>
      </c>
      <c r="L165" s="11">
        <v>0</v>
      </c>
      <c r="M165" s="11">
        <v>0</v>
      </c>
      <c r="N165" s="11">
        <v>0</v>
      </c>
      <c r="O165" s="16"/>
      <c r="P165" s="16"/>
      <c r="Q165" s="11">
        <f t="shared" si="334"/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f t="shared" si="375"/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f>SUM(AG165:BB165)</f>
        <v>8000000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  <c r="AU165" s="11">
        <v>0</v>
      </c>
      <c r="AV165" s="11"/>
      <c r="AW165" s="11"/>
      <c r="AX165" s="11">
        <v>0</v>
      </c>
      <c r="AY165" s="11">
        <v>0</v>
      </c>
      <c r="AZ165" s="11">
        <v>0</v>
      </c>
      <c r="BA165" s="11">
        <v>0</v>
      </c>
      <c r="BB165" s="11">
        <f>0+8000000</f>
        <v>8000000</v>
      </c>
      <c r="BC165" s="11">
        <f>SUM(BD165+BH165+BL165+BN165+BQ165)</f>
        <v>0</v>
      </c>
      <c r="BD165" s="11">
        <f>SUM(BE165:BG165)</f>
        <v>0</v>
      </c>
      <c r="BE165" s="11">
        <v>0</v>
      </c>
      <c r="BF165" s="11">
        <v>0</v>
      </c>
      <c r="BG165" s="11">
        <v>0</v>
      </c>
      <c r="BH165" s="11">
        <f t="shared" si="336"/>
        <v>0</v>
      </c>
      <c r="BI165" s="11">
        <v>0</v>
      </c>
      <c r="BJ165" s="11">
        <v>0</v>
      </c>
      <c r="BK165" s="11">
        <v>0</v>
      </c>
      <c r="BL165" s="11">
        <v>0</v>
      </c>
      <c r="BM165" s="11">
        <v>0</v>
      </c>
      <c r="BN165" s="11">
        <f t="shared" si="337"/>
        <v>0</v>
      </c>
      <c r="BO165" s="11">
        <v>0</v>
      </c>
      <c r="BP165" s="11">
        <v>0</v>
      </c>
      <c r="BQ165" s="11">
        <f t="shared" si="338"/>
        <v>0</v>
      </c>
      <c r="BR165" s="11">
        <v>0</v>
      </c>
      <c r="BS165" s="11">
        <v>0</v>
      </c>
      <c r="BT165" s="11">
        <v>0</v>
      </c>
      <c r="BU165" s="11">
        <v>0</v>
      </c>
      <c r="BV165" s="11">
        <v>0</v>
      </c>
      <c r="BW165" s="11">
        <v>0</v>
      </c>
      <c r="BX165" s="11">
        <v>0</v>
      </c>
      <c r="BY165" s="11">
        <v>0</v>
      </c>
      <c r="BZ165" s="11">
        <v>0</v>
      </c>
      <c r="CA165" s="11">
        <v>0</v>
      </c>
      <c r="CB165" s="11">
        <v>0</v>
      </c>
      <c r="CC165" s="11">
        <f>SUM(CD165+CT165)</f>
        <v>0</v>
      </c>
      <c r="CD165" s="11">
        <f>SUM(CE165+CH165+CM165)</f>
        <v>0</v>
      </c>
      <c r="CE165" s="11">
        <f t="shared" si="339"/>
        <v>0</v>
      </c>
      <c r="CF165" s="11">
        <v>0</v>
      </c>
      <c r="CG165" s="11">
        <v>0</v>
      </c>
      <c r="CH165" s="11">
        <f>SUM(CI165:CL165)</f>
        <v>0</v>
      </c>
      <c r="CI165" s="11">
        <v>0</v>
      </c>
      <c r="CJ165" s="11">
        <v>0</v>
      </c>
      <c r="CK165" s="11">
        <v>0</v>
      </c>
      <c r="CL165" s="11">
        <v>0</v>
      </c>
      <c r="CM165" s="11">
        <f>SUM(CN165:CQ165)</f>
        <v>0</v>
      </c>
      <c r="CN165" s="11">
        <v>0</v>
      </c>
      <c r="CO165" s="11">
        <v>0</v>
      </c>
      <c r="CP165" s="11"/>
      <c r="CQ165" s="11">
        <v>0</v>
      </c>
      <c r="CR165" s="11">
        <v>0</v>
      </c>
      <c r="CS165" s="11">
        <v>0</v>
      </c>
      <c r="CT165" s="11">
        <v>0</v>
      </c>
      <c r="CU165" s="11">
        <f t="shared" si="340"/>
        <v>0</v>
      </c>
      <c r="CV165" s="11">
        <f t="shared" si="341"/>
        <v>0</v>
      </c>
      <c r="CW165" s="11">
        <v>0</v>
      </c>
      <c r="CX165" s="12">
        <v>0</v>
      </c>
    </row>
    <row r="166" spans="1:102" ht="15.75" x14ac:dyDescent="0.25">
      <c r="A166" s="7"/>
      <c r="B166" s="8" t="s">
        <v>294</v>
      </c>
      <c r="C166" s="8" t="s">
        <v>1</v>
      </c>
      <c r="D166" s="9" t="s">
        <v>295</v>
      </c>
      <c r="E166" s="10">
        <f t="shared" ref="E166:BT166" si="384">SUM(E167:E169)</f>
        <v>9239132</v>
      </c>
      <c r="F166" s="11">
        <f t="shared" si="384"/>
        <v>8835861</v>
      </c>
      <c r="G166" s="11">
        <f t="shared" si="384"/>
        <v>8835861</v>
      </c>
      <c r="H166" s="11">
        <f t="shared" si="384"/>
        <v>6057936</v>
      </c>
      <c r="I166" s="11">
        <f t="shared" si="384"/>
        <v>1435677</v>
      </c>
      <c r="J166" s="11">
        <f t="shared" si="384"/>
        <v>6913</v>
      </c>
      <c r="K166" s="11">
        <f t="shared" si="384"/>
        <v>0</v>
      </c>
      <c r="L166" s="11">
        <f t="shared" si="384"/>
        <v>0</v>
      </c>
      <c r="M166" s="11">
        <f t="shared" si="384"/>
        <v>0</v>
      </c>
      <c r="N166" s="11">
        <f t="shared" si="384"/>
        <v>0</v>
      </c>
      <c r="O166" s="11">
        <f t="shared" si="384"/>
        <v>6431</v>
      </c>
      <c r="P166" s="11">
        <f t="shared" si="384"/>
        <v>482</v>
      </c>
      <c r="Q166" s="11">
        <f t="shared" si="384"/>
        <v>0</v>
      </c>
      <c r="R166" s="11">
        <f t="shared" si="384"/>
        <v>0</v>
      </c>
      <c r="S166" s="11">
        <f t="shared" si="384"/>
        <v>0</v>
      </c>
      <c r="T166" s="11">
        <f t="shared" si="384"/>
        <v>0</v>
      </c>
      <c r="U166" s="11">
        <f t="shared" si="384"/>
        <v>36383</v>
      </c>
      <c r="V166" s="11">
        <f t="shared" si="384"/>
        <v>37487</v>
      </c>
      <c r="W166" s="11">
        <f t="shared" si="384"/>
        <v>37487</v>
      </c>
      <c r="X166" s="11">
        <f t="shared" si="384"/>
        <v>0</v>
      </c>
      <c r="Y166" s="11">
        <f t="shared" si="384"/>
        <v>0</v>
      </c>
      <c r="Z166" s="11">
        <f t="shared" si="384"/>
        <v>0</v>
      </c>
      <c r="AA166" s="11">
        <f t="shared" si="384"/>
        <v>0</v>
      </c>
      <c r="AB166" s="11">
        <f t="shared" si="384"/>
        <v>0</v>
      </c>
      <c r="AC166" s="11">
        <f t="shared" si="384"/>
        <v>0</v>
      </c>
      <c r="AD166" s="11">
        <f t="shared" si="384"/>
        <v>0</v>
      </c>
      <c r="AE166" s="11">
        <f t="shared" si="384"/>
        <v>0</v>
      </c>
      <c r="AF166" s="11">
        <f t="shared" si="384"/>
        <v>1261465</v>
      </c>
      <c r="AG166" s="11">
        <f t="shared" si="384"/>
        <v>0</v>
      </c>
      <c r="AH166" s="11">
        <f t="shared" si="384"/>
        <v>0</v>
      </c>
      <c r="AI166" s="11">
        <f t="shared" si="384"/>
        <v>1432</v>
      </c>
      <c r="AJ166" s="11">
        <f t="shared" si="384"/>
        <v>1053</v>
      </c>
      <c r="AK166" s="11">
        <f t="shared" si="384"/>
        <v>0</v>
      </c>
      <c r="AL166" s="11">
        <f t="shared" si="384"/>
        <v>0</v>
      </c>
      <c r="AM166" s="11">
        <f t="shared" si="384"/>
        <v>0</v>
      </c>
      <c r="AN166" s="11">
        <f t="shared" si="384"/>
        <v>0</v>
      </c>
      <c r="AO166" s="11">
        <f t="shared" si="384"/>
        <v>1258980</v>
      </c>
      <c r="AP166" s="11">
        <f t="shared" si="384"/>
        <v>0</v>
      </c>
      <c r="AQ166" s="11">
        <f t="shared" si="384"/>
        <v>0</v>
      </c>
      <c r="AR166" s="11">
        <f t="shared" ref="AR166" si="385">SUM(AR167:AR169)</f>
        <v>0</v>
      </c>
      <c r="AS166" s="11">
        <f t="shared" si="384"/>
        <v>0</v>
      </c>
      <c r="AT166" s="11">
        <f t="shared" si="384"/>
        <v>0</v>
      </c>
      <c r="AU166" s="11">
        <f t="shared" si="384"/>
        <v>0</v>
      </c>
      <c r="AV166" s="11"/>
      <c r="AW166" s="11"/>
      <c r="AX166" s="11">
        <f t="shared" si="384"/>
        <v>0</v>
      </c>
      <c r="AY166" s="11">
        <f t="shared" si="384"/>
        <v>0</v>
      </c>
      <c r="AZ166" s="11">
        <f t="shared" si="384"/>
        <v>0</v>
      </c>
      <c r="BA166" s="11">
        <f t="shared" si="384"/>
        <v>0</v>
      </c>
      <c r="BB166" s="11">
        <f t="shared" si="384"/>
        <v>0</v>
      </c>
      <c r="BC166" s="11">
        <f t="shared" si="384"/>
        <v>0</v>
      </c>
      <c r="BD166" s="11">
        <f t="shared" si="384"/>
        <v>0</v>
      </c>
      <c r="BE166" s="11">
        <f t="shared" si="384"/>
        <v>0</v>
      </c>
      <c r="BF166" s="11">
        <f t="shared" si="384"/>
        <v>0</v>
      </c>
      <c r="BG166" s="11">
        <f t="shared" si="384"/>
        <v>0</v>
      </c>
      <c r="BH166" s="11">
        <f t="shared" si="384"/>
        <v>0</v>
      </c>
      <c r="BI166" s="11">
        <f t="shared" si="384"/>
        <v>0</v>
      </c>
      <c r="BJ166" s="11">
        <f t="shared" si="384"/>
        <v>0</v>
      </c>
      <c r="BK166" s="11">
        <f t="shared" si="384"/>
        <v>0</v>
      </c>
      <c r="BL166" s="11">
        <f t="shared" si="384"/>
        <v>0</v>
      </c>
      <c r="BM166" s="11">
        <f t="shared" si="384"/>
        <v>0</v>
      </c>
      <c r="BN166" s="11">
        <f t="shared" si="384"/>
        <v>0</v>
      </c>
      <c r="BO166" s="11">
        <f t="shared" si="384"/>
        <v>0</v>
      </c>
      <c r="BP166" s="11">
        <f t="shared" ref="BP166" si="386">SUM(BP167:BP169)</f>
        <v>0</v>
      </c>
      <c r="BQ166" s="11">
        <f t="shared" si="384"/>
        <v>0</v>
      </c>
      <c r="BR166" s="11">
        <f t="shared" si="384"/>
        <v>0</v>
      </c>
      <c r="BS166" s="11">
        <f t="shared" si="384"/>
        <v>0</v>
      </c>
      <c r="BT166" s="11">
        <f t="shared" si="384"/>
        <v>0</v>
      </c>
      <c r="BU166" s="11">
        <f t="shared" ref="BU166:CX166" si="387">SUM(BU167:BU169)</f>
        <v>0</v>
      </c>
      <c r="BV166" s="11">
        <f t="shared" si="387"/>
        <v>0</v>
      </c>
      <c r="BW166" s="11">
        <f t="shared" si="387"/>
        <v>0</v>
      </c>
      <c r="BX166" s="11">
        <f t="shared" si="387"/>
        <v>0</v>
      </c>
      <c r="BY166" s="11">
        <f t="shared" si="387"/>
        <v>0</v>
      </c>
      <c r="BZ166" s="11">
        <f t="shared" si="387"/>
        <v>0</v>
      </c>
      <c r="CA166" s="11">
        <f t="shared" si="387"/>
        <v>0</v>
      </c>
      <c r="CB166" s="11">
        <f t="shared" si="387"/>
        <v>0</v>
      </c>
      <c r="CC166" s="11">
        <f t="shared" si="387"/>
        <v>403271</v>
      </c>
      <c r="CD166" s="11">
        <f t="shared" si="387"/>
        <v>403271</v>
      </c>
      <c r="CE166" s="11">
        <f t="shared" si="387"/>
        <v>0</v>
      </c>
      <c r="CF166" s="11">
        <f t="shared" si="387"/>
        <v>0</v>
      </c>
      <c r="CG166" s="11">
        <f t="shared" si="387"/>
        <v>0</v>
      </c>
      <c r="CH166" s="11">
        <f t="shared" si="387"/>
        <v>0</v>
      </c>
      <c r="CI166" s="11">
        <f t="shared" si="387"/>
        <v>0</v>
      </c>
      <c r="CJ166" s="11">
        <f t="shared" si="387"/>
        <v>0</v>
      </c>
      <c r="CK166" s="11">
        <f t="shared" si="387"/>
        <v>0</v>
      </c>
      <c r="CL166" s="11">
        <f t="shared" si="387"/>
        <v>0</v>
      </c>
      <c r="CM166" s="11">
        <f t="shared" si="387"/>
        <v>403271</v>
      </c>
      <c r="CN166" s="11">
        <f t="shared" si="387"/>
        <v>403271</v>
      </c>
      <c r="CO166" s="11">
        <f t="shared" si="387"/>
        <v>0</v>
      </c>
      <c r="CP166" s="11"/>
      <c r="CQ166" s="11">
        <f t="shared" si="387"/>
        <v>0</v>
      </c>
      <c r="CR166" s="11">
        <f t="shared" si="387"/>
        <v>0</v>
      </c>
      <c r="CS166" s="11">
        <f t="shared" si="387"/>
        <v>0</v>
      </c>
      <c r="CT166" s="11">
        <f t="shared" si="387"/>
        <v>0</v>
      </c>
      <c r="CU166" s="11">
        <f t="shared" si="387"/>
        <v>0</v>
      </c>
      <c r="CV166" s="11">
        <f t="shared" si="387"/>
        <v>0</v>
      </c>
      <c r="CW166" s="11">
        <f t="shared" si="387"/>
        <v>0</v>
      </c>
      <c r="CX166" s="12">
        <f t="shared" si="387"/>
        <v>0</v>
      </c>
    </row>
    <row r="167" spans="1:102" ht="15.75" x14ac:dyDescent="0.25">
      <c r="A167" s="13"/>
      <c r="B167" s="14" t="s">
        <v>1</v>
      </c>
      <c r="C167" s="14" t="s">
        <v>82</v>
      </c>
      <c r="D167" s="15" t="s">
        <v>296</v>
      </c>
      <c r="E167" s="10">
        <f>SUM(F167+CC167+CU167)</f>
        <v>247332</v>
      </c>
      <c r="F167" s="11">
        <f>SUM(G167+BC167)</f>
        <v>247332</v>
      </c>
      <c r="G167" s="11">
        <f>SUM(H167+I167+J167+Q167+T167+U167+V167+AF167+AE167)</f>
        <v>247332</v>
      </c>
      <c r="H167" s="16">
        <f>189597+10112</f>
        <v>199709</v>
      </c>
      <c r="I167" s="16">
        <f>45095+2528</f>
        <v>47623</v>
      </c>
      <c r="J167" s="11">
        <f>SUM(K167:P167)</f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f t="shared" si="334"/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f t="shared" ref="V167:V169" si="388">SUM(W167:AD167)</f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f>SUM(AG167:BB167)</f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  <c r="AU167" s="11">
        <v>0</v>
      </c>
      <c r="AV167" s="11"/>
      <c r="AW167" s="11"/>
      <c r="AX167" s="11">
        <v>0</v>
      </c>
      <c r="AY167" s="11">
        <v>0</v>
      </c>
      <c r="AZ167" s="11">
        <v>0</v>
      </c>
      <c r="BA167" s="11">
        <v>0</v>
      </c>
      <c r="BB167" s="11">
        <v>0</v>
      </c>
      <c r="BC167" s="11">
        <f>SUM(BD167+BH167+BL167+BN167+BQ167)</f>
        <v>0</v>
      </c>
      <c r="BD167" s="11">
        <f>SUM(BE167:BG167)</f>
        <v>0</v>
      </c>
      <c r="BE167" s="11">
        <v>0</v>
      </c>
      <c r="BF167" s="11">
        <v>0</v>
      </c>
      <c r="BG167" s="11">
        <v>0</v>
      </c>
      <c r="BH167" s="11">
        <f t="shared" si="336"/>
        <v>0</v>
      </c>
      <c r="BI167" s="11">
        <v>0</v>
      </c>
      <c r="BJ167" s="11">
        <v>0</v>
      </c>
      <c r="BK167" s="11">
        <v>0</v>
      </c>
      <c r="BL167" s="11">
        <v>0</v>
      </c>
      <c r="BM167" s="11">
        <v>0</v>
      </c>
      <c r="BN167" s="11">
        <f t="shared" si="337"/>
        <v>0</v>
      </c>
      <c r="BO167" s="11">
        <v>0</v>
      </c>
      <c r="BP167" s="11">
        <v>0</v>
      </c>
      <c r="BQ167" s="11">
        <f t="shared" si="338"/>
        <v>0</v>
      </c>
      <c r="BR167" s="11">
        <v>0</v>
      </c>
      <c r="BS167" s="11">
        <v>0</v>
      </c>
      <c r="BT167" s="11">
        <v>0</v>
      </c>
      <c r="BU167" s="11">
        <v>0</v>
      </c>
      <c r="BV167" s="11">
        <v>0</v>
      </c>
      <c r="BW167" s="11">
        <v>0</v>
      </c>
      <c r="BX167" s="11">
        <v>0</v>
      </c>
      <c r="BY167" s="11">
        <v>0</v>
      </c>
      <c r="BZ167" s="11">
        <v>0</v>
      </c>
      <c r="CA167" s="11">
        <v>0</v>
      </c>
      <c r="CB167" s="11">
        <v>0</v>
      </c>
      <c r="CC167" s="11">
        <f>SUM(CD167+CT167)</f>
        <v>0</v>
      </c>
      <c r="CD167" s="11">
        <f>SUM(CE167+CH167+CM167)</f>
        <v>0</v>
      </c>
      <c r="CE167" s="11">
        <f t="shared" si="339"/>
        <v>0</v>
      </c>
      <c r="CF167" s="11">
        <v>0</v>
      </c>
      <c r="CG167" s="11">
        <v>0</v>
      </c>
      <c r="CH167" s="11">
        <f>SUM(CI167:CL167)</f>
        <v>0</v>
      </c>
      <c r="CI167" s="11">
        <v>0</v>
      </c>
      <c r="CJ167" s="11">
        <v>0</v>
      </c>
      <c r="CK167" s="11">
        <v>0</v>
      </c>
      <c r="CL167" s="11">
        <v>0</v>
      </c>
      <c r="CM167" s="11">
        <f>SUM(CN167:CQ167)</f>
        <v>0</v>
      </c>
      <c r="CN167" s="11">
        <v>0</v>
      </c>
      <c r="CO167" s="11">
        <v>0</v>
      </c>
      <c r="CP167" s="11"/>
      <c r="CQ167" s="11">
        <v>0</v>
      </c>
      <c r="CR167" s="11">
        <v>0</v>
      </c>
      <c r="CS167" s="11">
        <v>0</v>
      </c>
      <c r="CT167" s="11">
        <v>0</v>
      </c>
      <c r="CU167" s="11">
        <f t="shared" si="340"/>
        <v>0</v>
      </c>
      <c r="CV167" s="11">
        <f t="shared" si="341"/>
        <v>0</v>
      </c>
      <c r="CW167" s="11">
        <v>0</v>
      </c>
      <c r="CX167" s="12">
        <v>0</v>
      </c>
    </row>
    <row r="168" spans="1:102" ht="15.75" x14ac:dyDescent="0.25">
      <c r="A168" s="13" t="s">
        <v>1</v>
      </c>
      <c r="B168" s="14" t="s">
        <v>1</v>
      </c>
      <c r="C168" s="14" t="s">
        <v>100</v>
      </c>
      <c r="D168" s="15" t="s">
        <v>297</v>
      </c>
      <c r="E168" s="10">
        <f>SUM(F168+CC168+CU168)</f>
        <v>445927</v>
      </c>
      <c r="F168" s="11">
        <f>SUM(G168+BC168)</f>
        <v>445927</v>
      </c>
      <c r="G168" s="11">
        <f>SUM(H168+I168+J168+Q168+T168+U168+V168+AF168+AE168)</f>
        <v>445927</v>
      </c>
      <c r="H168" s="16">
        <f>5561608-5208770</f>
        <v>352838</v>
      </c>
      <c r="I168" s="16">
        <f>1313899-1220810</f>
        <v>93089</v>
      </c>
      <c r="J168" s="11">
        <f>SUM(K168:P168)</f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f>6431-6431</f>
        <v>0</v>
      </c>
      <c r="P168" s="11">
        <f>482-482</f>
        <v>0</v>
      </c>
      <c r="Q168" s="11">
        <f t="shared" si="334"/>
        <v>0</v>
      </c>
      <c r="R168" s="11"/>
      <c r="S168" s="11">
        <v>0</v>
      </c>
      <c r="T168" s="11">
        <v>0</v>
      </c>
      <c r="U168" s="11">
        <f>36383-36383</f>
        <v>0</v>
      </c>
      <c r="V168" s="11">
        <f t="shared" ref="V168" si="389">SUM(W168:AD168)</f>
        <v>0</v>
      </c>
      <c r="W168" s="11">
        <f>37487-37487</f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f>SUM(AG168:BB168)</f>
        <v>0</v>
      </c>
      <c r="AG168" s="11">
        <v>0</v>
      </c>
      <c r="AH168" s="11">
        <v>0</v>
      </c>
      <c r="AI168" s="11">
        <f>1432-1432</f>
        <v>0</v>
      </c>
      <c r="AJ168" s="11">
        <f>1053-1053</f>
        <v>0</v>
      </c>
      <c r="AK168" s="11">
        <v>0</v>
      </c>
      <c r="AL168" s="11">
        <v>0</v>
      </c>
      <c r="AM168" s="11">
        <v>0</v>
      </c>
      <c r="AN168" s="11"/>
      <c r="AO168" s="11">
        <f>1233740-1233740</f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/>
      <c r="AW168" s="11"/>
      <c r="AX168" s="11">
        <v>0</v>
      </c>
      <c r="AY168" s="11">
        <v>0</v>
      </c>
      <c r="AZ168" s="11">
        <v>0</v>
      </c>
      <c r="BA168" s="11">
        <v>0</v>
      </c>
      <c r="BB168" s="11">
        <v>0</v>
      </c>
      <c r="BC168" s="11">
        <f>SUM(BD168+BH168+BL168+BN168+BQ168)</f>
        <v>0</v>
      </c>
      <c r="BD168" s="11">
        <f>SUM(BE168:BG168)</f>
        <v>0</v>
      </c>
      <c r="BE168" s="11">
        <v>0</v>
      </c>
      <c r="BF168" s="11">
        <v>0</v>
      </c>
      <c r="BG168" s="11">
        <v>0</v>
      </c>
      <c r="BH168" s="11">
        <f t="shared" si="336"/>
        <v>0</v>
      </c>
      <c r="BI168" s="11">
        <v>0</v>
      </c>
      <c r="BJ168" s="11">
        <v>0</v>
      </c>
      <c r="BK168" s="11">
        <v>0</v>
      </c>
      <c r="BL168" s="11">
        <v>0</v>
      </c>
      <c r="BM168" s="11">
        <v>0</v>
      </c>
      <c r="BN168" s="11">
        <f t="shared" si="337"/>
        <v>0</v>
      </c>
      <c r="BO168" s="11">
        <v>0</v>
      </c>
      <c r="BP168" s="11">
        <v>0</v>
      </c>
      <c r="BQ168" s="11">
        <f t="shared" si="338"/>
        <v>0</v>
      </c>
      <c r="BR168" s="11">
        <v>0</v>
      </c>
      <c r="BS168" s="11">
        <v>0</v>
      </c>
      <c r="BT168" s="11">
        <v>0</v>
      </c>
      <c r="BU168" s="11">
        <v>0</v>
      </c>
      <c r="BV168" s="11">
        <v>0</v>
      </c>
      <c r="BW168" s="11">
        <v>0</v>
      </c>
      <c r="BX168" s="11">
        <v>0</v>
      </c>
      <c r="BY168" s="11">
        <v>0</v>
      </c>
      <c r="BZ168" s="11">
        <v>0</v>
      </c>
      <c r="CA168" s="11">
        <v>0</v>
      </c>
      <c r="CB168" s="11">
        <v>0</v>
      </c>
      <c r="CC168" s="11">
        <f>SUM(CD168+CT168)</f>
        <v>0</v>
      </c>
      <c r="CD168" s="11">
        <f>SUM(CE168+CH168+CM168)</f>
        <v>0</v>
      </c>
      <c r="CE168" s="11">
        <f t="shared" ref="CE168" si="390">SUM(CF168:CG168)</f>
        <v>0</v>
      </c>
      <c r="CF168" s="11">
        <v>0</v>
      </c>
      <c r="CG168" s="11"/>
      <c r="CH168" s="11">
        <f>SUM(CI168:CL168)</f>
        <v>0</v>
      </c>
      <c r="CI168" s="11">
        <v>0</v>
      </c>
      <c r="CJ168" s="11">
        <v>0</v>
      </c>
      <c r="CK168" s="11">
        <v>0</v>
      </c>
      <c r="CL168" s="11">
        <v>0</v>
      </c>
      <c r="CM168" s="11">
        <f>SUM(CN168:CQ168)</f>
        <v>0</v>
      </c>
      <c r="CN168" s="11">
        <f>403271-403271</f>
        <v>0</v>
      </c>
      <c r="CO168" s="11">
        <v>0</v>
      </c>
      <c r="CP168" s="11"/>
      <c r="CQ168" s="11">
        <v>0</v>
      </c>
      <c r="CR168" s="11">
        <v>0</v>
      </c>
      <c r="CS168" s="11">
        <v>0</v>
      </c>
      <c r="CT168" s="11">
        <v>0</v>
      </c>
      <c r="CU168" s="11">
        <f t="shared" si="340"/>
        <v>0</v>
      </c>
      <c r="CV168" s="11">
        <f t="shared" si="341"/>
        <v>0</v>
      </c>
      <c r="CW168" s="11">
        <v>0</v>
      </c>
      <c r="CX168" s="12">
        <v>0</v>
      </c>
    </row>
    <row r="169" spans="1:102" ht="31.5" x14ac:dyDescent="0.25">
      <c r="A169" s="13" t="s">
        <v>1</v>
      </c>
      <c r="B169" s="14" t="s">
        <v>1</v>
      </c>
      <c r="C169" s="14" t="s">
        <v>113</v>
      </c>
      <c r="D169" s="15" t="s">
        <v>114</v>
      </c>
      <c r="E169" s="10">
        <f>SUM(F169+CC169+CU169)</f>
        <v>8545873</v>
      </c>
      <c r="F169" s="11">
        <f>SUM(G169+BC169)</f>
        <v>8142602</v>
      </c>
      <c r="G169" s="11">
        <f>SUM(H169+I169+J169+Q169+T169+U169+V169+AF169+AE169)</f>
        <v>8142602</v>
      </c>
      <c r="H169" s="16">
        <f>0+5505389</f>
        <v>5505389</v>
      </c>
      <c r="I169" s="16">
        <f>0+1294965</f>
        <v>1294965</v>
      </c>
      <c r="J169" s="11">
        <f>SUM(K169:P169)</f>
        <v>6913</v>
      </c>
      <c r="K169" s="11">
        <v>0</v>
      </c>
      <c r="L169" s="11">
        <v>0</v>
      </c>
      <c r="M169" s="11">
        <v>0</v>
      </c>
      <c r="N169" s="11">
        <v>0</v>
      </c>
      <c r="O169" s="11">
        <f>0+6431</f>
        <v>6431</v>
      </c>
      <c r="P169" s="11">
        <f>0+482</f>
        <v>482</v>
      </c>
      <c r="Q169" s="11">
        <f t="shared" si="334"/>
        <v>0</v>
      </c>
      <c r="R169" s="11"/>
      <c r="S169" s="11">
        <v>0</v>
      </c>
      <c r="T169" s="11">
        <v>0</v>
      </c>
      <c r="U169" s="11">
        <f>0+36383</f>
        <v>36383</v>
      </c>
      <c r="V169" s="11">
        <f t="shared" si="388"/>
        <v>37487</v>
      </c>
      <c r="W169" s="11">
        <f>0+37487</f>
        <v>37487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f>SUM(AG169:BB169)</f>
        <v>1261465</v>
      </c>
      <c r="AG169" s="11">
        <v>0</v>
      </c>
      <c r="AH169" s="11">
        <v>0</v>
      </c>
      <c r="AI169" s="11">
        <f>0+1432</f>
        <v>1432</v>
      </c>
      <c r="AJ169" s="11">
        <f>0+1053</f>
        <v>1053</v>
      </c>
      <c r="AK169" s="11">
        <v>0</v>
      </c>
      <c r="AL169" s="11">
        <v>0</v>
      </c>
      <c r="AM169" s="11">
        <v>0</v>
      </c>
      <c r="AN169" s="11"/>
      <c r="AO169" s="11">
        <f>0+25240+1233740</f>
        <v>1258980</v>
      </c>
      <c r="AP169" s="11">
        <v>0</v>
      </c>
      <c r="AQ169" s="11">
        <v>0</v>
      </c>
      <c r="AR169" s="11">
        <v>0</v>
      </c>
      <c r="AS169" s="11">
        <v>0</v>
      </c>
      <c r="AT169" s="11">
        <v>0</v>
      </c>
      <c r="AU169" s="11">
        <v>0</v>
      </c>
      <c r="AV169" s="11"/>
      <c r="AW169" s="11"/>
      <c r="AX169" s="11">
        <v>0</v>
      </c>
      <c r="AY169" s="11">
        <v>0</v>
      </c>
      <c r="AZ169" s="11">
        <v>0</v>
      </c>
      <c r="BA169" s="11">
        <v>0</v>
      </c>
      <c r="BB169" s="11">
        <v>0</v>
      </c>
      <c r="BC169" s="11">
        <f>SUM(BD169+BH169+BL169+BN169+BQ169)</f>
        <v>0</v>
      </c>
      <c r="BD169" s="11">
        <f>SUM(BE169:BG169)</f>
        <v>0</v>
      </c>
      <c r="BE169" s="11">
        <v>0</v>
      </c>
      <c r="BF169" s="11">
        <v>0</v>
      </c>
      <c r="BG169" s="11">
        <v>0</v>
      </c>
      <c r="BH169" s="11">
        <f t="shared" si="336"/>
        <v>0</v>
      </c>
      <c r="BI169" s="11">
        <v>0</v>
      </c>
      <c r="BJ169" s="11">
        <v>0</v>
      </c>
      <c r="BK169" s="11">
        <v>0</v>
      </c>
      <c r="BL169" s="11">
        <v>0</v>
      </c>
      <c r="BM169" s="11">
        <v>0</v>
      </c>
      <c r="BN169" s="11">
        <f t="shared" si="337"/>
        <v>0</v>
      </c>
      <c r="BO169" s="11">
        <v>0</v>
      </c>
      <c r="BP169" s="11">
        <v>0</v>
      </c>
      <c r="BQ169" s="11">
        <f t="shared" si="338"/>
        <v>0</v>
      </c>
      <c r="BR169" s="11">
        <v>0</v>
      </c>
      <c r="BS169" s="11">
        <v>0</v>
      </c>
      <c r="BT169" s="11">
        <v>0</v>
      </c>
      <c r="BU169" s="11">
        <v>0</v>
      </c>
      <c r="BV169" s="11">
        <v>0</v>
      </c>
      <c r="BW169" s="11">
        <v>0</v>
      </c>
      <c r="BX169" s="11">
        <v>0</v>
      </c>
      <c r="BY169" s="11">
        <v>0</v>
      </c>
      <c r="BZ169" s="11">
        <v>0</v>
      </c>
      <c r="CA169" s="11">
        <v>0</v>
      </c>
      <c r="CB169" s="11">
        <v>0</v>
      </c>
      <c r="CC169" s="11">
        <f>SUM(CD169+CT169)</f>
        <v>403271</v>
      </c>
      <c r="CD169" s="11">
        <f>SUM(CE169+CH169+CM169)</f>
        <v>403271</v>
      </c>
      <c r="CE169" s="11">
        <f t="shared" si="339"/>
        <v>0</v>
      </c>
      <c r="CF169" s="11">
        <v>0</v>
      </c>
      <c r="CG169" s="11"/>
      <c r="CH169" s="11">
        <f>SUM(CI169:CL169)</f>
        <v>0</v>
      </c>
      <c r="CI169" s="11">
        <v>0</v>
      </c>
      <c r="CJ169" s="11">
        <v>0</v>
      </c>
      <c r="CK169" s="11">
        <v>0</v>
      </c>
      <c r="CL169" s="11">
        <v>0</v>
      </c>
      <c r="CM169" s="11">
        <f>SUM(CN169:CQ169)</f>
        <v>403271</v>
      </c>
      <c r="CN169" s="11">
        <f>0+403271</f>
        <v>403271</v>
      </c>
      <c r="CO169" s="11">
        <v>0</v>
      </c>
      <c r="CP169" s="11"/>
      <c r="CQ169" s="11">
        <v>0</v>
      </c>
      <c r="CR169" s="11">
        <v>0</v>
      </c>
      <c r="CS169" s="11">
        <v>0</v>
      </c>
      <c r="CT169" s="11">
        <v>0</v>
      </c>
      <c r="CU169" s="11">
        <f t="shared" si="340"/>
        <v>0</v>
      </c>
      <c r="CV169" s="11">
        <f t="shared" si="341"/>
        <v>0</v>
      </c>
      <c r="CW169" s="11">
        <v>0</v>
      </c>
      <c r="CX169" s="12">
        <v>0</v>
      </c>
    </row>
    <row r="170" spans="1:102" ht="15.75" x14ac:dyDescent="0.25">
      <c r="A170" s="18" t="s">
        <v>298</v>
      </c>
      <c r="B170" s="19" t="s">
        <v>1</v>
      </c>
      <c r="C170" s="19" t="s">
        <v>1</v>
      </c>
      <c r="D170" s="20" t="s">
        <v>299</v>
      </c>
      <c r="E170" s="21">
        <f>SUM(E171+E173+E176+E179+E181)</f>
        <v>1008125464</v>
      </c>
      <c r="F170" s="22">
        <f t="shared" ref="F170:BW170" si="391">SUM(F171+F173+F176+F179+F181)</f>
        <v>1006239404</v>
      </c>
      <c r="G170" s="22">
        <f t="shared" si="391"/>
        <v>1005912805</v>
      </c>
      <c r="H170" s="22">
        <f t="shared" si="391"/>
        <v>505318288</v>
      </c>
      <c r="I170" s="22">
        <f t="shared" si="391"/>
        <v>115587230</v>
      </c>
      <c r="J170" s="22">
        <f t="shared" si="391"/>
        <v>295991845</v>
      </c>
      <c r="K170" s="22">
        <f t="shared" si="391"/>
        <v>238864885</v>
      </c>
      <c r="L170" s="22">
        <f t="shared" si="391"/>
        <v>8537254</v>
      </c>
      <c r="M170" s="22">
        <f t="shared" si="391"/>
        <v>32187431</v>
      </c>
      <c r="N170" s="22">
        <f t="shared" si="391"/>
        <v>2955</v>
      </c>
      <c r="O170" s="22">
        <f t="shared" si="391"/>
        <v>13427068</v>
      </c>
      <c r="P170" s="22">
        <f t="shared" si="391"/>
        <v>2972252</v>
      </c>
      <c r="Q170" s="22">
        <f t="shared" si="391"/>
        <v>1022</v>
      </c>
      <c r="R170" s="22">
        <f t="shared" si="391"/>
        <v>0</v>
      </c>
      <c r="S170" s="22">
        <f t="shared" si="391"/>
        <v>1022</v>
      </c>
      <c r="T170" s="22">
        <f t="shared" si="391"/>
        <v>600</v>
      </c>
      <c r="U170" s="22">
        <f t="shared" si="391"/>
        <v>2736359</v>
      </c>
      <c r="V170" s="22">
        <f t="shared" si="391"/>
        <v>28412543</v>
      </c>
      <c r="W170" s="22">
        <f t="shared" si="391"/>
        <v>239043</v>
      </c>
      <c r="X170" s="22">
        <f t="shared" si="391"/>
        <v>14088254</v>
      </c>
      <c r="Y170" s="22">
        <f t="shared" si="391"/>
        <v>6792869</v>
      </c>
      <c r="Z170" s="22">
        <f t="shared" si="391"/>
        <v>5869263</v>
      </c>
      <c r="AA170" s="22">
        <f t="shared" si="391"/>
        <v>1150805</v>
      </c>
      <c r="AB170" s="22">
        <f t="shared" si="391"/>
        <v>3208</v>
      </c>
      <c r="AC170" s="22">
        <f t="shared" si="391"/>
        <v>0</v>
      </c>
      <c r="AD170" s="22">
        <f t="shared" si="391"/>
        <v>269101</v>
      </c>
      <c r="AE170" s="22">
        <f t="shared" si="391"/>
        <v>2897</v>
      </c>
      <c r="AF170" s="22">
        <f t="shared" si="391"/>
        <v>57862021</v>
      </c>
      <c r="AG170" s="22">
        <f t="shared" si="391"/>
        <v>0</v>
      </c>
      <c r="AH170" s="22">
        <f t="shared" si="391"/>
        <v>0</v>
      </c>
      <c r="AI170" s="22">
        <f t="shared" si="391"/>
        <v>238011</v>
      </c>
      <c r="AJ170" s="22">
        <f t="shared" si="391"/>
        <v>869114</v>
      </c>
      <c r="AK170" s="22">
        <f t="shared" si="391"/>
        <v>0</v>
      </c>
      <c r="AL170" s="22">
        <f t="shared" si="391"/>
        <v>2216</v>
      </c>
      <c r="AM170" s="22">
        <f t="shared" si="391"/>
        <v>0</v>
      </c>
      <c r="AN170" s="22">
        <f t="shared" si="391"/>
        <v>1034254</v>
      </c>
      <c r="AO170" s="22">
        <f t="shared" si="391"/>
        <v>219572</v>
      </c>
      <c r="AP170" s="22">
        <f t="shared" si="391"/>
        <v>0</v>
      </c>
      <c r="AQ170" s="22">
        <f t="shared" si="391"/>
        <v>216</v>
      </c>
      <c r="AR170" s="22">
        <f t="shared" ref="AR170" si="392">SUM(AR171+AR173+AR176+AR179+AR181)</f>
        <v>0</v>
      </c>
      <c r="AS170" s="22">
        <f t="shared" si="391"/>
        <v>0</v>
      </c>
      <c r="AT170" s="22">
        <f t="shared" si="391"/>
        <v>911675</v>
      </c>
      <c r="AU170" s="22">
        <f t="shared" si="391"/>
        <v>50660</v>
      </c>
      <c r="AV170" s="22">
        <f t="shared" si="391"/>
        <v>0</v>
      </c>
      <c r="AW170" s="22">
        <f t="shared" si="391"/>
        <v>1708960</v>
      </c>
      <c r="AX170" s="22">
        <f t="shared" si="391"/>
        <v>5944824</v>
      </c>
      <c r="AY170" s="22">
        <f t="shared" si="391"/>
        <v>0</v>
      </c>
      <c r="AZ170" s="22">
        <f t="shared" si="391"/>
        <v>0</v>
      </c>
      <c r="BA170" s="22">
        <f t="shared" si="391"/>
        <v>0</v>
      </c>
      <c r="BB170" s="22">
        <f t="shared" si="391"/>
        <v>46882519</v>
      </c>
      <c r="BC170" s="22">
        <f t="shared" si="391"/>
        <v>326599</v>
      </c>
      <c r="BD170" s="22">
        <f t="shared" si="391"/>
        <v>0</v>
      </c>
      <c r="BE170" s="22">
        <f t="shared" si="391"/>
        <v>0</v>
      </c>
      <c r="BF170" s="22">
        <f t="shared" si="391"/>
        <v>0</v>
      </c>
      <c r="BG170" s="22">
        <f t="shared" si="391"/>
        <v>0</v>
      </c>
      <c r="BH170" s="22">
        <f t="shared" si="391"/>
        <v>0</v>
      </c>
      <c r="BI170" s="22">
        <f t="shared" si="391"/>
        <v>0</v>
      </c>
      <c r="BJ170" s="22">
        <f t="shared" si="391"/>
        <v>0</v>
      </c>
      <c r="BK170" s="22">
        <f t="shared" si="391"/>
        <v>0</v>
      </c>
      <c r="BL170" s="22">
        <f t="shared" si="391"/>
        <v>0</v>
      </c>
      <c r="BM170" s="22">
        <f t="shared" si="391"/>
        <v>0</v>
      </c>
      <c r="BN170" s="22">
        <f t="shared" si="391"/>
        <v>0</v>
      </c>
      <c r="BO170" s="22">
        <f t="shared" si="391"/>
        <v>0</v>
      </c>
      <c r="BP170" s="22">
        <f t="shared" ref="BP170" si="393">SUM(BP171+BP173+BP176+BP179+BP181)</f>
        <v>0</v>
      </c>
      <c r="BQ170" s="22">
        <f t="shared" si="391"/>
        <v>326599</v>
      </c>
      <c r="BR170" s="22">
        <f t="shared" si="391"/>
        <v>0</v>
      </c>
      <c r="BS170" s="22">
        <f t="shared" si="391"/>
        <v>0</v>
      </c>
      <c r="BT170" s="22">
        <f t="shared" si="391"/>
        <v>0</v>
      </c>
      <c r="BU170" s="22">
        <f t="shared" si="391"/>
        <v>0</v>
      </c>
      <c r="BV170" s="22">
        <f t="shared" si="391"/>
        <v>0</v>
      </c>
      <c r="BW170" s="22">
        <f t="shared" si="391"/>
        <v>0</v>
      </c>
      <c r="BX170" s="22">
        <f t="shared" ref="BX170:CX170" si="394">SUM(BX171+BX173+BX176+BX179+BX181)</f>
        <v>0</v>
      </c>
      <c r="BY170" s="22">
        <f t="shared" si="394"/>
        <v>0</v>
      </c>
      <c r="BZ170" s="22">
        <f t="shared" si="394"/>
        <v>0</v>
      </c>
      <c r="CA170" s="22">
        <f t="shared" si="394"/>
        <v>0</v>
      </c>
      <c r="CB170" s="22">
        <f t="shared" si="394"/>
        <v>326599</v>
      </c>
      <c r="CC170" s="22">
        <f t="shared" si="394"/>
        <v>1886060</v>
      </c>
      <c r="CD170" s="22">
        <f t="shared" si="394"/>
        <v>1886060</v>
      </c>
      <c r="CE170" s="22">
        <f t="shared" si="394"/>
        <v>1243172</v>
      </c>
      <c r="CF170" s="22">
        <f t="shared" si="394"/>
        <v>0</v>
      </c>
      <c r="CG170" s="22">
        <f t="shared" si="394"/>
        <v>1243172</v>
      </c>
      <c r="CH170" s="22">
        <f t="shared" si="394"/>
        <v>0</v>
      </c>
      <c r="CI170" s="22">
        <f t="shared" si="394"/>
        <v>0</v>
      </c>
      <c r="CJ170" s="22">
        <f t="shared" si="394"/>
        <v>0</v>
      </c>
      <c r="CK170" s="22">
        <f t="shared" si="394"/>
        <v>0</v>
      </c>
      <c r="CL170" s="22">
        <f t="shared" si="394"/>
        <v>0</v>
      </c>
      <c r="CM170" s="22">
        <f t="shared" si="394"/>
        <v>642888</v>
      </c>
      <c r="CN170" s="22">
        <f t="shared" si="394"/>
        <v>546704</v>
      </c>
      <c r="CO170" s="22">
        <f t="shared" si="394"/>
        <v>0</v>
      </c>
      <c r="CP170" s="22">
        <f t="shared" si="394"/>
        <v>96184</v>
      </c>
      <c r="CQ170" s="22">
        <f t="shared" si="394"/>
        <v>0</v>
      </c>
      <c r="CR170" s="22">
        <f t="shared" si="394"/>
        <v>0</v>
      </c>
      <c r="CS170" s="22">
        <f t="shared" si="394"/>
        <v>0</v>
      </c>
      <c r="CT170" s="22">
        <f t="shared" si="394"/>
        <v>0</v>
      </c>
      <c r="CU170" s="22">
        <f t="shared" si="394"/>
        <v>0</v>
      </c>
      <c r="CV170" s="22">
        <f t="shared" si="394"/>
        <v>0</v>
      </c>
      <c r="CW170" s="22">
        <f t="shared" si="394"/>
        <v>0</v>
      </c>
      <c r="CX170" s="23">
        <f t="shared" si="394"/>
        <v>0</v>
      </c>
    </row>
    <row r="171" spans="1:102" ht="15.75" x14ac:dyDescent="0.25">
      <c r="A171" s="7"/>
      <c r="B171" s="8" t="s">
        <v>300</v>
      </c>
      <c r="C171" s="8" t="s">
        <v>1</v>
      </c>
      <c r="D171" s="9" t="s">
        <v>301</v>
      </c>
      <c r="E171" s="10">
        <f>SUM(E172)</f>
        <v>763449730</v>
      </c>
      <c r="F171" s="11">
        <f t="shared" ref="F171:BW171" si="395">SUM(F172)</f>
        <v>761786250</v>
      </c>
      <c r="G171" s="11">
        <f t="shared" si="395"/>
        <v>761682739</v>
      </c>
      <c r="H171" s="11">
        <f t="shared" si="395"/>
        <v>382594104</v>
      </c>
      <c r="I171" s="11">
        <f t="shared" si="395"/>
        <v>85879740</v>
      </c>
      <c r="J171" s="11">
        <f t="shared" si="395"/>
        <v>222822595</v>
      </c>
      <c r="K171" s="11">
        <f t="shared" si="395"/>
        <v>172146086</v>
      </c>
      <c r="L171" s="11">
        <f t="shared" si="395"/>
        <v>8317554</v>
      </c>
      <c r="M171" s="11">
        <f t="shared" si="395"/>
        <v>31396597</v>
      </c>
      <c r="N171" s="11">
        <f t="shared" si="395"/>
        <v>2955</v>
      </c>
      <c r="O171" s="11">
        <f t="shared" si="395"/>
        <v>8106601</v>
      </c>
      <c r="P171" s="11">
        <f t="shared" si="395"/>
        <v>2852802</v>
      </c>
      <c r="Q171" s="11">
        <f t="shared" si="395"/>
        <v>0</v>
      </c>
      <c r="R171" s="11">
        <f t="shared" si="395"/>
        <v>0</v>
      </c>
      <c r="S171" s="11">
        <f t="shared" si="395"/>
        <v>0</v>
      </c>
      <c r="T171" s="11">
        <f t="shared" si="395"/>
        <v>0</v>
      </c>
      <c r="U171" s="11">
        <f t="shared" si="395"/>
        <v>1798518</v>
      </c>
      <c r="V171" s="11">
        <f t="shared" si="395"/>
        <v>24790489</v>
      </c>
      <c r="W171" s="11">
        <f t="shared" si="395"/>
        <v>219423</v>
      </c>
      <c r="X171" s="11">
        <f t="shared" si="395"/>
        <v>11759816</v>
      </c>
      <c r="Y171" s="11">
        <f t="shared" si="395"/>
        <v>6106752</v>
      </c>
      <c r="Z171" s="11">
        <f t="shared" si="395"/>
        <v>5399051</v>
      </c>
      <c r="AA171" s="11">
        <f t="shared" si="395"/>
        <v>1135277</v>
      </c>
      <c r="AB171" s="11">
        <f t="shared" si="395"/>
        <v>3208</v>
      </c>
      <c r="AC171" s="11">
        <f t="shared" si="395"/>
        <v>0</v>
      </c>
      <c r="AD171" s="11">
        <f t="shared" si="395"/>
        <v>166962</v>
      </c>
      <c r="AE171" s="11">
        <f t="shared" si="395"/>
        <v>0</v>
      </c>
      <c r="AF171" s="11">
        <f t="shared" si="395"/>
        <v>43797293</v>
      </c>
      <c r="AG171" s="11">
        <f t="shared" si="395"/>
        <v>0</v>
      </c>
      <c r="AH171" s="11">
        <f t="shared" si="395"/>
        <v>0</v>
      </c>
      <c r="AI171" s="11">
        <f t="shared" si="395"/>
        <v>236394</v>
      </c>
      <c r="AJ171" s="11">
        <f t="shared" si="395"/>
        <v>852910</v>
      </c>
      <c r="AK171" s="11">
        <f t="shared" si="395"/>
        <v>0</v>
      </c>
      <c r="AL171" s="11">
        <f t="shared" si="395"/>
        <v>0</v>
      </c>
      <c r="AM171" s="11">
        <f t="shared" si="395"/>
        <v>0</v>
      </c>
      <c r="AN171" s="11">
        <f t="shared" si="395"/>
        <v>739522</v>
      </c>
      <c r="AO171" s="11">
        <f t="shared" si="395"/>
        <v>197873</v>
      </c>
      <c r="AP171" s="11">
        <f t="shared" si="395"/>
        <v>0</v>
      </c>
      <c r="AQ171" s="11">
        <f t="shared" si="395"/>
        <v>0</v>
      </c>
      <c r="AR171" s="11">
        <f t="shared" si="395"/>
        <v>0</v>
      </c>
      <c r="AS171" s="11">
        <f t="shared" si="395"/>
        <v>0</v>
      </c>
      <c r="AT171" s="11">
        <f t="shared" si="395"/>
        <v>792495</v>
      </c>
      <c r="AU171" s="11">
        <f t="shared" si="395"/>
        <v>36260</v>
      </c>
      <c r="AV171" s="11">
        <f t="shared" si="395"/>
        <v>0</v>
      </c>
      <c r="AW171" s="11">
        <f t="shared" si="395"/>
        <v>1238499</v>
      </c>
      <c r="AX171" s="11">
        <f t="shared" si="395"/>
        <v>2806906</v>
      </c>
      <c r="AY171" s="11">
        <f t="shared" si="395"/>
        <v>0</v>
      </c>
      <c r="AZ171" s="11">
        <f t="shared" si="395"/>
        <v>0</v>
      </c>
      <c r="BA171" s="11">
        <f t="shared" si="395"/>
        <v>0</v>
      </c>
      <c r="BB171" s="11">
        <f t="shared" si="395"/>
        <v>36896434</v>
      </c>
      <c r="BC171" s="11">
        <f t="shared" si="395"/>
        <v>103511</v>
      </c>
      <c r="BD171" s="11">
        <f t="shared" si="395"/>
        <v>0</v>
      </c>
      <c r="BE171" s="11">
        <f t="shared" si="395"/>
        <v>0</v>
      </c>
      <c r="BF171" s="11">
        <f t="shared" si="395"/>
        <v>0</v>
      </c>
      <c r="BG171" s="11">
        <f t="shared" si="395"/>
        <v>0</v>
      </c>
      <c r="BH171" s="11">
        <f t="shared" si="395"/>
        <v>0</v>
      </c>
      <c r="BI171" s="11">
        <f t="shared" si="395"/>
        <v>0</v>
      </c>
      <c r="BJ171" s="11">
        <f t="shared" si="395"/>
        <v>0</v>
      </c>
      <c r="BK171" s="11">
        <f t="shared" si="395"/>
        <v>0</v>
      </c>
      <c r="BL171" s="11">
        <f t="shared" si="395"/>
        <v>0</v>
      </c>
      <c r="BM171" s="11">
        <f t="shared" si="395"/>
        <v>0</v>
      </c>
      <c r="BN171" s="11">
        <f t="shared" si="395"/>
        <v>0</v>
      </c>
      <c r="BO171" s="11">
        <f t="shared" si="395"/>
        <v>0</v>
      </c>
      <c r="BP171" s="11">
        <f t="shared" si="395"/>
        <v>0</v>
      </c>
      <c r="BQ171" s="11">
        <f t="shared" si="395"/>
        <v>103511</v>
      </c>
      <c r="BR171" s="11">
        <f t="shared" si="395"/>
        <v>0</v>
      </c>
      <c r="BS171" s="11">
        <f t="shared" si="395"/>
        <v>0</v>
      </c>
      <c r="BT171" s="11">
        <f t="shared" si="395"/>
        <v>0</v>
      </c>
      <c r="BU171" s="11">
        <f t="shared" si="395"/>
        <v>0</v>
      </c>
      <c r="BV171" s="11">
        <f t="shared" si="395"/>
        <v>0</v>
      </c>
      <c r="BW171" s="11">
        <f t="shared" si="395"/>
        <v>0</v>
      </c>
      <c r="BX171" s="11">
        <f t="shared" ref="BX171:CX171" si="396">SUM(BX172)</f>
        <v>0</v>
      </c>
      <c r="BY171" s="11">
        <f t="shared" si="396"/>
        <v>0</v>
      </c>
      <c r="BZ171" s="11">
        <f t="shared" si="396"/>
        <v>0</v>
      </c>
      <c r="CA171" s="11">
        <f t="shared" si="396"/>
        <v>0</v>
      </c>
      <c r="CB171" s="11">
        <f t="shared" si="396"/>
        <v>103511</v>
      </c>
      <c r="CC171" s="11">
        <f t="shared" si="396"/>
        <v>1663480</v>
      </c>
      <c r="CD171" s="11">
        <f t="shared" si="396"/>
        <v>1663480</v>
      </c>
      <c r="CE171" s="11">
        <f t="shared" si="396"/>
        <v>1116776</v>
      </c>
      <c r="CF171" s="11">
        <f t="shared" si="396"/>
        <v>0</v>
      </c>
      <c r="CG171" s="11">
        <f t="shared" si="396"/>
        <v>1116776</v>
      </c>
      <c r="CH171" s="11">
        <f t="shared" si="396"/>
        <v>0</v>
      </c>
      <c r="CI171" s="11">
        <f t="shared" si="396"/>
        <v>0</v>
      </c>
      <c r="CJ171" s="11">
        <f t="shared" si="396"/>
        <v>0</v>
      </c>
      <c r="CK171" s="11">
        <f t="shared" si="396"/>
        <v>0</v>
      </c>
      <c r="CL171" s="11">
        <f t="shared" si="396"/>
        <v>0</v>
      </c>
      <c r="CM171" s="11">
        <f t="shared" si="396"/>
        <v>546704</v>
      </c>
      <c r="CN171" s="11">
        <f t="shared" si="396"/>
        <v>546704</v>
      </c>
      <c r="CO171" s="11">
        <f t="shared" si="396"/>
        <v>0</v>
      </c>
      <c r="CP171" s="11"/>
      <c r="CQ171" s="11">
        <f t="shared" si="396"/>
        <v>0</v>
      </c>
      <c r="CR171" s="11">
        <f t="shared" si="396"/>
        <v>0</v>
      </c>
      <c r="CS171" s="11">
        <f t="shared" si="396"/>
        <v>0</v>
      </c>
      <c r="CT171" s="11">
        <f t="shared" si="396"/>
        <v>0</v>
      </c>
      <c r="CU171" s="11">
        <f t="shared" si="396"/>
        <v>0</v>
      </c>
      <c r="CV171" s="11">
        <f t="shared" si="396"/>
        <v>0</v>
      </c>
      <c r="CW171" s="11">
        <f t="shared" si="396"/>
        <v>0</v>
      </c>
      <c r="CX171" s="12">
        <f t="shared" si="396"/>
        <v>0</v>
      </c>
    </row>
    <row r="172" spans="1:102" ht="15.75" x14ac:dyDescent="0.25">
      <c r="A172" s="13"/>
      <c r="B172" s="14" t="s">
        <v>1</v>
      </c>
      <c r="C172" s="14" t="s">
        <v>86</v>
      </c>
      <c r="D172" s="15" t="s">
        <v>301</v>
      </c>
      <c r="E172" s="10">
        <f>SUM(F172+CC172+CU172)</f>
        <v>763449730</v>
      </c>
      <c r="F172" s="11">
        <f>SUM(G172+BC172)</f>
        <v>761786250</v>
      </c>
      <c r="G172" s="11">
        <f>SUM(H172+I172+J172+Q172+T172+U172+V172+AF172+AE172)</f>
        <v>761682739</v>
      </c>
      <c r="H172" s="16">
        <f>249830337+77620777+38608771+16534219</f>
        <v>382594104</v>
      </c>
      <c r="I172" s="16">
        <f>57997662+18553404+9328674</f>
        <v>85879740</v>
      </c>
      <c r="J172" s="11">
        <f>SUM(K172:P172)</f>
        <v>222822595</v>
      </c>
      <c r="K172" s="16">
        <f>51937593+34516563+68836043+39115+16816772</f>
        <v>172146086</v>
      </c>
      <c r="L172" s="16">
        <f>246461+2255951+5815142</f>
        <v>8317554</v>
      </c>
      <c r="M172" s="16">
        <f>13961350+4750834+12684413</f>
        <v>31396597</v>
      </c>
      <c r="N172" s="16">
        <v>2955</v>
      </c>
      <c r="O172" s="16">
        <v>8106601</v>
      </c>
      <c r="P172" s="16">
        <f>451066+21707-163+2347923+32269</f>
        <v>2852802</v>
      </c>
      <c r="Q172" s="11">
        <f t="shared" si="334"/>
        <v>0</v>
      </c>
      <c r="R172" s="11">
        <v>0</v>
      </c>
      <c r="S172" s="11"/>
      <c r="T172" s="11">
        <v>0</v>
      </c>
      <c r="U172" s="16">
        <f>1798518</f>
        <v>1798518</v>
      </c>
      <c r="V172" s="11">
        <f t="shared" ref="V172" si="397">SUM(W172:AD172)</f>
        <v>24790489</v>
      </c>
      <c r="W172" s="16">
        <f>61039+158384</f>
        <v>219423</v>
      </c>
      <c r="X172" s="16">
        <f>10437628+166521+1155667</f>
        <v>11759816</v>
      </c>
      <c r="Y172" s="16">
        <f>5812294+57528+236930</f>
        <v>6106752</v>
      </c>
      <c r="Z172" s="16">
        <f>4631097+412640+355314</f>
        <v>5399051</v>
      </c>
      <c r="AA172" s="16">
        <f>549526+585751</f>
        <v>1135277</v>
      </c>
      <c r="AB172" s="16">
        <v>3208</v>
      </c>
      <c r="AC172" s="16"/>
      <c r="AD172" s="16">
        <f>151420+14580+962</f>
        <v>166962</v>
      </c>
      <c r="AE172" s="11"/>
      <c r="AF172" s="11">
        <f>SUM(AG172:BB172)</f>
        <v>43797293</v>
      </c>
      <c r="AG172" s="11">
        <v>0</v>
      </c>
      <c r="AH172" s="11"/>
      <c r="AI172" s="16">
        <f>79837+156557</f>
        <v>236394</v>
      </c>
      <c r="AJ172" s="16">
        <f>251316+2432+599162</f>
        <v>852910</v>
      </c>
      <c r="AK172" s="16"/>
      <c r="AL172" s="16"/>
      <c r="AM172" s="16"/>
      <c r="AN172" s="16">
        <v>739522</v>
      </c>
      <c r="AO172" s="16">
        <f>92231+105642</f>
        <v>197873</v>
      </c>
      <c r="AP172" s="16"/>
      <c r="AQ172" s="16"/>
      <c r="AR172" s="16"/>
      <c r="AS172" s="16"/>
      <c r="AT172" s="16">
        <f>792495</f>
        <v>792495</v>
      </c>
      <c r="AU172" s="16">
        <f>11000+25260</f>
        <v>36260</v>
      </c>
      <c r="AV172" s="16"/>
      <c r="AW172" s="16">
        <f>1149018+89481</f>
        <v>1238499</v>
      </c>
      <c r="AX172" s="16">
        <f>2806906</f>
        <v>2806906</v>
      </c>
      <c r="AY172" s="16"/>
      <c r="AZ172" s="16"/>
      <c r="BA172" s="16"/>
      <c r="BB172" s="16">
        <f>18535130+26397920-12684413+4647797</f>
        <v>36896434</v>
      </c>
      <c r="BC172" s="11">
        <f>SUM(BD172+BH172+BL172+BN172+BQ172)</f>
        <v>103511</v>
      </c>
      <c r="BD172" s="11">
        <f>SUM(BE172:BG172)</f>
        <v>0</v>
      </c>
      <c r="BE172" s="11">
        <v>0</v>
      </c>
      <c r="BF172" s="11">
        <v>0</v>
      </c>
      <c r="BG172" s="11">
        <v>0</v>
      </c>
      <c r="BH172" s="11">
        <f t="shared" si="336"/>
        <v>0</v>
      </c>
      <c r="BI172" s="11">
        <v>0</v>
      </c>
      <c r="BJ172" s="11">
        <v>0</v>
      </c>
      <c r="BK172" s="11">
        <v>0</v>
      </c>
      <c r="BL172" s="11">
        <v>0</v>
      </c>
      <c r="BM172" s="11">
        <v>0</v>
      </c>
      <c r="BN172" s="11">
        <f t="shared" si="337"/>
        <v>0</v>
      </c>
      <c r="BO172" s="11">
        <v>0</v>
      </c>
      <c r="BP172" s="11">
        <v>0</v>
      </c>
      <c r="BQ172" s="11">
        <f t="shared" si="338"/>
        <v>103511</v>
      </c>
      <c r="BR172" s="11">
        <v>0</v>
      </c>
      <c r="BS172" s="11">
        <v>0</v>
      </c>
      <c r="BT172" s="11">
        <v>0</v>
      </c>
      <c r="BU172" s="11">
        <v>0</v>
      </c>
      <c r="BV172" s="11">
        <v>0</v>
      </c>
      <c r="BW172" s="11">
        <v>0</v>
      </c>
      <c r="BX172" s="11">
        <v>0</v>
      </c>
      <c r="BY172" s="11">
        <v>0</v>
      </c>
      <c r="BZ172" s="11">
        <v>0</v>
      </c>
      <c r="CA172" s="11">
        <v>0</v>
      </c>
      <c r="CB172" s="11">
        <v>103511</v>
      </c>
      <c r="CC172" s="11">
        <f>SUM(CD172+CT172)</f>
        <v>1663480</v>
      </c>
      <c r="CD172" s="11">
        <f>SUM(CE172+CH172+CM172)</f>
        <v>1663480</v>
      </c>
      <c r="CE172" s="11">
        <f t="shared" si="339"/>
        <v>1116776</v>
      </c>
      <c r="CF172" s="11">
        <v>0</v>
      </c>
      <c r="CG172" s="11">
        <f>233064+101985+760067+21660</f>
        <v>1116776</v>
      </c>
      <c r="CH172" s="11">
        <f>SUM(CI172:CL172)</f>
        <v>0</v>
      </c>
      <c r="CI172" s="11">
        <v>0</v>
      </c>
      <c r="CJ172" s="11">
        <v>0</v>
      </c>
      <c r="CK172" s="11">
        <v>0</v>
      </c>
      <c r="CL172" s="11">
        <v>0</v>
      </c>
      <c r="CM172" s="11">
        <f>SUM(CN172:CQ172)</f>
        <v>546704</v>
      </c>
      <c r="CN172" s="11">
        <f>313046+233658</f>
        <v>546704</v>
      </c>
      <c r="CO172" s="11">
        <v>0</v>
      </c>
      <c r="CP172" s="11"/>
      <c r="CQ172" s="11">
        <v>0</v>
      </c>
      <c r="CR172" s="11"/>
      <c r="CS172" s="11"/>
      <c r="CT172" s="11">
        <v>0</v>
      </c>
      <c r="CU172" s="11">
        <f t="shared" si="340"/>
        <v>0</v>
      </c>
      <c r="CV172" s="11">
        <f t="shared" si="341"/>
        <v>0</v>
      </c>
      <c r="CW172" s="11">
        <v>0</v>
      </c>
      <c r="CX172" s="12">
        <v>0</v>
      </c>
    </row>
    <row r="173" spans="1:102" ht="31.5" x14ac:dyDescent="0.25">
      <c r="A173" s="7"/>
      <c r="B173" s="8" t="s">
        <v>302</v>
      </c>
      <c r="C173" s="8" t="s">
        <v>1</v>
      </c>
      <c r="D173" s="9" t="s">
        <v>303</v>
      </c>
      <c r="E173" s="10">
        <f>SUM(E174:E175)</f>
        <v>150006059</v>
      </c>
      <c r="F173" s="11">
        <f t="shared" ref="F173:BW173" si="398">SUM(F174:F175)</f>
        <v>149867148</v>
      </c>
      <c r="G173" s="11">
        <f t="shared" si="398"/>
        <v>149863648</v>
      </c>
      <c r="H173" s="11">
        <f t="shared" si="398"/>
        <v>101582309</v>
      </c>
      <c r="I173" s="11">
        <f t="shared" si="398"/>
        <v>24703737</v>
      </c>
      <c r="J173" s="11">
        <f t="shared" si="398"/>
        <v>11013678</v>
      </c>
      <c r="K173" s="11">
        <f t="shared" si="398"/>
        <v>6212319</v>
      </c>
      <c r="L173" s="11">
        <f t="shared" si="398"/>
        <v>26250</v>
      </c>
      <c r="M173" s="11">
        <f t="shared" si="398"/>
        <v>0</v>
      </c>
      <c r="N173" s="11">
        <f t="shared" si="398"/>
        <v>0</v>
      </c>
      <c r="O173" s="11">
        <f t="shared" si="398"/>
        <v>4738655</v>
      </c>
      <c r="P173" s="11">
        <f t="shared" si="398"/>
        <v>36454</v>
      </c>
      <c r="Q173" s="11">
        <f t="shared" si="398"/>
        <v>0</v>
      </c>
      <c r="R173" s="11">
        <f t="shared" si="398"/>
        <v>0</v>
      </c>
      <c r="S173" s="11">
        <f t="shared" si="398"/>
        <v>0</v>
      </c>
      <c r="T173" s="11">
        <f t="shared" si="398"/>
        <v>600</v>
      </c>
      <c r="U173" s="11">
        <f t="shared" si="398"/>
        <v>666261</v>
      </c>
      <c r="V173" s="11">
        <f t="shared" si="398"/>
        <v>2724424</v>
      </c>
      <c r="W173" s="11">
        <f t="shared" si="398"/>
        <v>0</v>
      </c>
      <c r="X173" s="11">
        <f t="shared" si="398"/>
        <v>1749478</v>
      </c>
      <c r="Y173" s="11">
        <f t="shared" si="398"/>
        <v>535531</v>
      </c>
      <c r="Z173" s="11">
        <f t="shared" si="398"/>
        <v>368741</v>
      </c>
      <c r="AA173" s="11">
        <f t="shared" si="398"/>
        <v>8562</v>
      </c>
      <c r="AB173" s="11">
        <f t="shared" si="398"/>
        <v>0</v>
      </c>
      <c r="AC173" s="11">
        <f t="shared" si="398"/>
        <v>0</v>
      </c>
      <c r="AD173" s="11">
        <f t="shared" si="398"/>
        <v>62112</v>
      </c>
      <c r="AE173" s="11">
        <f t="shared" si="398"/>
        <v>2897</v>
      </c>
      <c r="AF173" s="11">
        <f t="shared" si="398"/>
        <v>9169742</v>
      </c>
      <c r="AG173" s="11">
        <f t="shared" si="398"/>
        <v>0</v>
      </c>
      <c r="AH173" s="11">
        <f t="shared" si="398"/>
        <v>0</v>
      </c>
      <c r="AI173" s="11">
        <f t="shared" si="398"/>
        <v>992</v>
      </c>
      <c r="AJ173" s="11">
        <f t="shared" si="398"/>
        <v>0</v>
      </c>
      <c r="AK173" s="11">
        <f t="shared" si="398"/>
        <v>0</v>
      </c>
      <c r="AL173" s="11">
        <f t="shared" si="398"/>
        <v>0</v>
      </c>
      <c r="AM173" s="11">
        <f t="shared" si="398"/>
        <v>0</v>
      </c>
      <c r="AN173" s="11">
        <f t="shared" si="398"/>
        <v>212776</v>
      </c>
      <c r="AO173" s="11">
        <f t="shared" si="398"/>
        <v>9716</v>
      </c>
      <c r="AP173" s="11">
        <f t="shared" si="398"/>
        <v>0</v>
      </c>
      <c r="AQ173" s="11">
        <f t="shared" si="398"/>
        <v>216</v>
      </c>
      <c r="AR173" s="11">
        <f t="shared" ref="AR173" si="399">SUM(AR174:AR175)</f>
        <v>0</v>
      </c>
      <c r="AS173" s="11">
        <f t="shared" si="398"/>
        <v>0</v>
      </c>
      <c r="AT173" s="11">
        <f t="shared" si="398"/>
        <v>74668</v>
      </c>
      <c r="AU173" s="11">
        <f t="shared" si="398"/>
        <v>0</v>
      </c>
      <c r="AV173" s="11">
        <f t="shared" si="398"/>
        <v>0</v>
      </c>
      <c r="AW173" s="11">
        <f t="shared" si="398"/>
        <v>413074</v>
      </c>
      <c r="AX173" s="11">
        <f t="shared" si="398"/>
        <v>0</v>
      </c>
      <c r="AY173" s="11">
        <f t="shared" si="398"/>
        <v>0</v>
      </c>
      <c r="AZ173" s="11">
        <f t="shared" si="398"/>
        <v>0</v>
      </c>
      <c r="BA173" s="11">
        <f t="shared" si="398"/>
        <v>0</v>
      </c>
      <c r="BB173" s="11">
        <f t="shared" si="398"/>
        <v>8458300</v>
      </c>
      <c r="BC173" s="11">
        <f t="shared" si="398"/>
        <v>3500</v>
      </c>
      <c r="BD173" s="11">
        <f t="shared" si="398"/>
        <v>0</v>
      </c>
      <c r="BE173" s="11">
        <f t="shared" si="398"/>
        <v>0</v>
      </c>
      <c r="BF173" s="11">
        <f t="shared" si="398"/>
        <v>0</v>
      </c>
      <c r="BG173" s="11">
        <f t="shared" si="398"/>
        <v>0</v>
      </c>
      <c r="BH173" s="11">
        <f t="shared" si="398"/>
        <v>0</v>
      </c>
      <c r="BI173" s="11">
        <f t="shared" si="398"/>
        <v>0</v>
      </c>
      <c r="BJ173" s="11">
        <f t="shared" si="398"/>
        <v>0</v>
      </c>
      <c r="BK173" s="11">
        <f t="shared" si="398"/>
        <v>0</v>
      </c>
      <c r="BL173" s="11">
        <f t="shared" si="398"/>
        <v>0</v>
      </c>
      <c r="BM173" s="11">
        <f t="shared" si="398"/>
        <v>0</v>
      </c>
      <c r="BN173" s="11">
        <f t="shared" si="398"/>
        <v>0</v>
      </c>
      <c r="BO173" s="11">
        <f t="shared" si="398"/>
        <v>0</v>
      </c>
      <c r="BP173" s="11">
        <f t="shared" ref="BP173" si="400">SUM(BP174:BP175)</f>
        <v>0</v>
      </c>
      <c r="BQ173" s="11">
        <f t="shared" si="398"/>
        <v>3500</v>
      </c>
      <c r="BR173" s="11">
        <f t="shared" si="398"/>
        <v>0</v>
      </c>
      <c r="BS173" s="11">
        <f t="shared" si="398"/>
        <v>0</v>
      </c>
      <c r="BT173" s="11">
        <f t="shared" si="398"/>
        <v>0</v>
      </c>
      <c r="BU173" s="11">
        <f t="shared" si="398"/>
        <v>0</v>
      </c>
      <c r="BV173" s="11">
        <f t="shared" si="398"/>
        <v>0</v>
      </c>
      <c r="BW173" s="11">
        <f t="shared" si="398"/>
        <v>0</v>
      </c>
      <c r="BX173" s="11">
        <f t="shared" ref="BX173:CX173" si="401">SUM(BX174:BX175)</f>
        <v>0</v>
      </c>
      <c r="BY173" s="11">
        <f t="shared" si="401"/>
        <v>0</v>
      </c>
      <c r="BZ173" s="11">
        <f t="shared" si="401"/>
        <v>0</v>
      </c>
      <c r="CA173" s="11">
        <f t="shared" si="401"/>
        <v>0</v>
      </c>
      <c r="CB173" s="11">
        <f t="shared" si="401"/>
        <v>3500</v>
      </c>
      <c r="CC173" s="11">
        <f t="shared" si="401"/>
        <v>138911</v>
      </c>
      <c r="CD173" s="11">
        <f t="shared" si="401"/>
        <v>138911</v>
      </c>
      <c r="CE173" s="11">
        <f t="shared" si="401"/>
        <v>42727</v>
      </c>
      <c r="CF173" s="11">
        <f t="shared" si="401"/>
        <v>0</v>
      </c>
      <c r="CG173" s="11">
        <f t="shared" si="401"/>
        <v>42727</v>
      </c>
      <c r="CH173" s="11">
        <f t="shared" si="401"/>
        <v>0</v>
      </c>
      <c r="CI173" s="11">
        <f t="shared" si="401"/>
        <v>0</v>
      </c>
      <c r="CJ173" s="11">
        <f t="shared" si="401"/>
        <v>0</v>
      </c>
      <c r="CK173" s="11">
        <f t="shared" si="401"/>
        <v>0</v>
      </c>
      <c r="CL173" s="11">
        <f t="shared" si="401"/>
        <v>0</v>
      </c>
      <c r="CM173" s="11">
        <f t="shared" si="401"/>
        <v>96184</v>
      </c>
      <c r="CN173" s="11">
        <f t="shared" si="401"/>
        <v>0</v>
      </c>
      <c r="CO173" s="11">
        <f t="shared" si="401"/>
        <v>0</v>
      </c>
      <c r="CP173" s="11">
        <f t="shared" si="401"/>
        <v>96184</v>
      </c>
      <c r="CQ173" s="11">
        <f t="shared" si="401"/>
        <v>0</v>
      </c>
      <c r="CR173" s="11">
        <f t="shared" si="401"/>
        <v>0</v>
      </c>
      <c r="CS173" s="11">
        <f t="shared" si="401"/>
        <v>0</v>
      </c>
      <c r="CT173" s="11">
        <f t="shared" si="401"/>
        <v>0</v>
      </c>
      <c r="CU173" s="11">
        <f t="shared" si="401"/>
        <v>0</v>
      </c>
      <c r="CV173" s="11">
        <f t="shared" si="401"/>
        <v>0</v>
      </c>
      <c r="CW173" s="11">
        <f t="shared" si="401"/>
        <v>0</v>
      </c>
      <c r="CX173" s="12">
        <f t="shared" si="401"/>
        <v>0</v>
      </c>
    </row>
    <row r="174" spans="1:102" ht="15.75" x14ac:dyDescent="0.25">
      <c r="A174" s="13"/>
      <c r="B174" s="14" t="s">
        <v>1</v>
      </c>
      <c r="C174" s="14" t="s">
        <v>86</v>
      </c>
      <c r="D174" s="15" t="s">
        <v>304</v>
      </c>
      <c r="E174" s="10">
        <f>SUM(F174+CC174+CU174)</f>
        <v>108043513</v>
      </c>
      <c r="F174" s="11">
        <f>SUM(G174+BC174)</f>
        <v>108043513</v>
      </c>
      <c r="G174" s="11">
        <f>SUM(H174+I174+J174+Q174+T174+U174+V174+AF174+AE174)</f>
        <v>108043513</v>
      </c>
      <c r="H174" s="16">
        <f>60844073+7871089+3488332</f>
        <v>72203494</v>
      </c>
      <c r="I174" s="16">
        <f>14867365+2040028+776579</f>
        <v>17683972</v>
      </c>
      <c r="J174" s="11">
        <f>SUM(K174:P174)</f>
        <v>6113424</v>
      </c>
      <c r="K174" s="16">
        <v>5706052</v>
      </c>
      <c r="L174" s="16"/>
      <c r="M174" s="16"/>
      <c r="N174" s="16"/>
      <c r="O174" s="16">
        <v>405274</v>
      </c>
      <c r="P174" s="16">
        <f>1935+163</f>
        <v>2098</v>
      </c>
      <c r="Q174" s="11">
        <f t="shared" si="334"/>
        <v>0</v>
      </c>
      <c r="R174" s="11">
        <v>0</v>
      </c>
      <c r="S174" s="11"/>
      <c r="T174" s="11">
        <v>0</v>
      </c>
      <c r="U174" s="16">
        <v>561722</v>
      </c>
      <c r="V174" s="11">
        <f t="shared" ref="V174:V175" si="402">SUM(W174:AD174)</f>
        <v>2426368</v>
      </c>
      <c r="W174" s="16"/>
      <c r="X174" s="16">
        <f>1384397+221317</f>
        <v>1605714</v>
      </c>
      <c r="Y174" s="16">
        <f>403921+16622</f>
        <v>420543</v>
      </c>
      <c r="Z174" s="16">
        <f>331206+2317</f>
        <v>333523</v>
      </c>
      <c r="AA174" s="16">
        <v>4476</v>
      </c>
      <c r="AB174" s="16"/>
      <c r="AC174" s="16"/>
      <c r="AD174" s="16">
        <f>51556+10556</f>
        <v>62112</v>
      </c>
      <c r="AE174" s="16"/>
      <c r="AF174" s="11">
        <f>SUM(AG174:BB174)</f>
        <v>9054533</v>
      </c>
      <c r="AG174" s="11">
        <v>0</v>
      </c>
      <c r="AH174" s="11">
        <v>0</v>
      </c>
      <c r="AI174" s="11">
        <v>0</v>
      </c>
      <c r="AJ174" s="11"/>
      <c r="AK174" s="11">
        <v>0</v>
      </c>
      <c r="AL174" s="11"/>
      <c r="AM174" s="11">
        <v>0</v>
      </c>
      <c r="AN174" s="16">
        <v>158278</v>
      </c>
      <c r="AO174" s="16"/>
      <c r="AP174" s="11">
        <v>0</v>
      </c>
      <c r="AQ174" s="11">
        <v>216</v>
      </c>
      <c r="AR174" s="11">
        <v>0</v>
      </c>
      <c r="AS174" s="11">
        <v>0</v>
      </c>
      <c r="AT174" s="16">
        <v>42315</v>
      </c>
      <c r="AU174" s="11">
        <v>0</v>
      </c>
      <c r="AV174" s="11"/>
      <c r="AW174" s="16">
        <v>413074</v>
      </c>
      <c r="AX174" s="11">
        <v>0</v>
      </c>
      <c r="AY174" s="11">
        <v>0</v>
      </c>
      <c r="AZ174" s="11">
        <v>0</v>
      </c>
      <c r="BA174" s="11"/>
      <c r="BB174" s="16">
        <f>8440650</f>
        <v>8440650</v>
      </c>
      <c r="BC174" s="11">
        <f>SUM(BD174+BH174+BL174+BN174+BQ174)</f>
        <v>0</v>
      </c>
      <c r="BD174" s="11">
        <f>SUM(BE174:BG174)</f>
        <v>0</v>
      </c>
      <c r="BE174" s="11">
        <v>0</v>
      </c>
      <c r="BF174" s="11">
        <v>0</v>
      </c>
      <c r="BG174" s="11">
        <v>0</v>
      </c>
      <c r="BH174" s="11">
        <f t="shared" si="336"/>
        <v>0</v>
      </c>
      <c r="BI174" s="11">
        <v>0</v>
      </c>
      <c r="BJ174" s="11">
        <v>0</v>
      </c>
      <c r="BK174" s="11">
        <v>0</v>
      </c>
      <c r="BL174" s="11">
        <v>0</v>
      </c>
      <c r="BM174" s="11">
        <v>0</v>
      </c>
      <c r="BN174" s="11">
        <f t="shared" si="337"/>
        <v>0</v>
      </c>
      <c r="BO174" s="11">
        <v>0</v>
      </c>
      <c r="BP174" s="11">
        <v>0</v>
      </c>
      <c r="BQ174" s="11">
        <f t="shared" si="338"/>
        <v>0</v>
      </c>
      <c r="BR174" s="11">
        <v>0</v>
      </c>
      <c r="BS174" s="11">
        <v>0</v>
      </c>
      <c r="BT174" s="11">
        <v>0</v>
      </c>
      <c r="BU174" s="11">
        <v>0</v>
      </c>
      <c r="BV174" s="11">
        <v>0</v>
      </c>
      <c r="BW174" s="11">
        <v>0</v>
      </c>
      <c r="BX174" s="11">
        <v>0</v>
      </c>
      <c r="BY174" s="11">
        <v>0</v>
      </c>
      <c r="BZ174" s="11">
        <v>0</v>
      </c>
      <c r="CA174" s="11">
        <v>0</v>
      </c>
      <c r="CB174" s="11">
        <v>0</v>
      </c>
      <c r="CC174" s="11">
        <f>SUM(CD174+CT174)</f>
        <v>0</v>
      </c>
      <c r="CD174" s="11">
        <f>SUM(CE174+CH174+CM174)</f>
        <v>0</v>
      </c>
      <c r="CE174" s="11">
        <f t="shared" si="339"/>
        <v>0</v>
      </c>
      <c r="CF174" s="11">
        <v>0</v>
      </c>
      <c r="CG174" s="11"/>
      <c r="CH174" s="11">
        <f>SUM(CI174:CL174)</f>
        <v>0</v>
      </c>
      <c r="CI174" s="11">
        <v>0</v>
      </c>
      <c r="CJ174" s="11">
        <v>0</v>
      </c>
      <c r="CK174" s="11">
        <v>0</v>
      </c>
      <c r="CL174" s="11">
        <v>0</v>
      </c>
      <c r="CM174" s="11">
        <f>SUM(CN174:CQ174)</f>
        <v>0</v>
      </c>
      <c r="CN174" s="11">
        <v>0</v>
      </c>
      <c r="CO174" s="11">
        <v>0</v>
      </c>
      <c r="CP174" s="11"/>
      <c r="CQ174" s="11">
        <v>0</v>
      </c>
      <c r="CR174" s="11"/>
      <c r="CS174" s="11"/>
      <c r="CT174" s="11">
        <v>0</v>
      </c>
      <c r="CU174" s="11">
        <f t="shared" si="340"/>
        <v>0</v>
      </c>
      <c r="CV174" s="11">
        <f t="shared" si="341"/>
        <v>0</v>
      </c>
      <c r="CW174" s="11">
        <v>0</v>
      </c>
      <c r="CX174" s="12">
        <v>0</v>
      </c>
    </row>
    <row r="175" spans="1:102" ht="15.75" x14ac:dyDescent="0.25">
      <c r="A175" s="13"/>
      <c r="B175" s="14" t="s">
        <v>1</v>
      </c>
      <c r="C175" s="14" t="s">
        <v>86</v>
      </c>
      <c r="D175" s="15" t="s">
        <v>305</v>
      </c>
      <c r="E175" s="10">
        <f>SUM(F175+CC175+CU175)</f>
        <v>41962546</v>
      </c>
      <c r="F175" s="11">
        <f>SUM(G175+BC175)</f>
        <v>41823635</v>
      </c>
      <c r="G175" s="11">
        <f>SUM(H175+I175+J175+Q175+T175+U175+V175+AF175+AE175)</f>
        <v>41820135</v>
      </c>
      <c r="H175" s="16">
        <f>18792492+5898690+4687633</f>
        <v>29378815</v>
      </c>
      <c r="I175" s="16">
        <f>4424557+1452343+1142865</f>
        <v>7019765</v>
      </c>
      <c r="J175" s="11">
        <f>SUM(K175:P175)</f>
        <v>4900254</v>
      </c>
      <c r="K175" s="16">
        <v>506267</v>
      </c>
      <c r="L175" s="16">
        <v>26250</v>
      </c>
      <c r="M175" s="16"/>
      <c r="N175" s="16"/>
      <c r="O175" s="16">
        <v>4333381</v>
      </c>
      <c r="P175" s="16">
        <v>34356</v>
      </c>
      <c r="Q175" s="11">
        <f t="shared" si="334"/>
        <v>0</v>
      </c>
      <c r="R175" s="11">
        <v>0</v>
      </c>
      <c r="S175" s="11">
        <v>0</v>
      </c>
      <c r="T175" s="11">
        <v>600</v>
      </c>
      <c r="U175" s="16">
        <v>104539</v>
      </c>
      <c r="V175" s="11">
        <f t="shared" si="402"/>
        <v>298056</v>
      </c>
      <c r="W175" s="11"/>
      <c r="X175" s="16">
        <f>130522+167+13075</f>
        <v>143764</v>
      </c>
      <c r="Y175" s="16">
        <f>95731+24720-5463</f>
        <v>114988</v>
      </c>
      <c r="Z175" s="16">
        <f>34490+728</f>
        <v>35218</v>
      </c>
      <c r="AA175" s="16">
        <v>4086</v>
      </c>
      <c r="AB175" s="16"/>
      <c r="AC175" s="16"/>
      <c r="AD175" s="16"/>
      <c r="AE175" s="16">
        <v>2897</v>
      </c>
      <c r="AF175" s="11">
        <f>SUM(AG175:BB175)</f>
        <v>115209</v>
      </c>
      <c r="AG175" s="11">
        <v>0</v>
      </c>
      <c r="AH175" s="11"/>
      <c r="AI175" s="11">
        <v>992</v>
      </c>
      <c r="AJ175" s="11"/>
      <c r="AK175" s="11">
        <v>0</v>
      </c>
      <c r="AL175" s="11"/>
      <c r="AM175" s="11">
        <v>0</v>
      </c>
      <c r="AN175" s="16">
        <v>54498</v>
      </c>
      <c r="AO175" s="16">
        <v>9716</v>
      </c>
      <c r="AP175" s="11">
        <v>0</v>
      </c>
      <c r="AQ175" s="11">
        <v>0</v>
      </c>
      <c r="AR175" s="11">
        <v>0</v>
      </c>
      <c r="AS175" s="11">
        <v>0</v>
      </c>
      <c r="AT175" s="16">
        <v>32353</v>
      </c>
      <c r="AU175" s="11"/>
      <c r="AV175" s="11"/>
      <c r="AW175" s="11"/>
      <c r="AX175" s="11">
        <v>0</v>
      </c>
      <c r="AY175" s="11">
        <v>0</v>
      </c>
      <c r="AZ175" s="11">
        <v>0</v>
      </c>
      <c r="BA175" s="11">
        <v>0</v>
      </c>
      <c r="BB175" s="16">
        <v>17650</v>
      </c>
      <c r="BC175" s="11">
        <f>SUM(BD175+BH175+BL175+BN175+BQ175)</f>
        <v>3500</v>
      </c>
      <c r="BD175" s="11">
        <f>SUM(BE175:BG175)</f>
        <v>0</v>
      </c>
      <c r="BE175" s="11">
        <v>0</v>
      </c>
      <c r="BF175" s="11">
        <v>0</v>
      </c>
      <c r="BG175" s="11">
        <v>0</v>
      </c>
      <c r="BH175" s="11">
        <f t="shared" si="336"/>
        <v>0</v>
      </c>
      <c r="BI175" s="11">
        <v>0</v>
      </c>
      <c r="BJ175" s="11">
        <v>0</v>
      </c>
      <c r="BK175" s="11">
        <v>0</v>
      </c>
      <c r="BL175" s="11">
        <v>0</v>
      </c>
      <c r="BM175" s="11">
        <v>0</v>
      </c>
      <c r="BN175" s="11">
        <f t="shared" si="337"/>
        <v>0</v>
      </c>
      <c r="BO175" s="11">
        <v>0</v>
      </c>
      <c r="BP175" s="11">
        <v>0</v>
      </c>
      <c r="BQ175" s="11">
        <f t="shared" si="338"/>
        <v>3500</v>
      </c>
      <c r="BR175" s="11">
        <v>0</v>
      </c>
      <c r="BS175" s="11">
        <v>0</v>
      </c>
      <c r="BT175" s="11">
        <v>0</v>
      </c>
      <c r="BU175" s="11">
        <v>0</v>
      </c>
      <c r="BV175" s="11">
        <v>0</v>
      </c>
      <c r="BW175" s="11">
        <v>0</v>
      </c>
      <c r="BX175" s="11">
        <v>0</v>
      </c>
      <c r="BY175" s="11">
        <v>0</v>
      </c>
      <c r="BZ175" s="11">
        <v>0</v>
      </c>
      <c r="CA175" s="11">
        <v>0</v>
      </c>
      <c r="CB175" s="11">
        <v>3500</v>
      </c>
      <c r="CC175" s="11">
        <f>SUM(CD175+CT175)</f>
        <v>138911</v>
      </c>
      <c r="CD175" s="11">
        <f>SUM(CE175+CH175+CM175)</f>
        <v>138911</v>
      </c>
      <c r="CE175" s="11">
        <f t="shared" si="339"/>
        <v>42727</v>
      </c>
      <c r="CF175" s="11">
        <v>0</v>
      </c>
      <c r="CG175" s="11">
        <v>42727</v>
      </c>
      <c r="CH175" s="11">
        <f>SUM(CI175:CL175)</f>
        <v>0</v>
      </c>
      <c r="CI175" s="11">
        <v>0</v>
      </c>
      <c r="CJ175" s="11">
        <v>0</v>
      </c>
      <c r="CK175" s="11">
        <v>0</v>
      </c>
      <c r="CL175" s="11">
        <v>0</v>
      </c>
      <c r="CM175" s="11">
        <f>SUM(CN175:CQ175)</f>
        <v>96184</v>
      </c>
      <c r="CN175" s="11">
        <v>0</v>
      </c>
      <c r="CO175" s="11"/>
      <c r="CP175" s="11">
        <v>96184</v>
      </c>
      <c r="CQ175" s="11">
        <v>0</v>
      </c>
      <c r="CR175" s="11">
        <v>0</v>
      </c>
      <c r="CS175" s="11">
        <v>0</v>
      </c>
      <c r="CT175" s="11">
        <v>0</v>
      </c>
      <c r="CU175" s="11">
        <f t="shared" si="340"/>
        <v>0</v>
      </c>
      <c r="CV175" s="11">
        <f t="shared" si="341"/>
        <v>0</v>
      </c>
      <c r="CW175" s="11">
        <v>0</v>
      </c>
      <c r="CX175" s="12">
        <v>0</v>
      </c>
    </row>
    <row r="176" spans="1:102" ht="31.5" x14ac:dyDescent="0.25">
      <c r="A176" s="7"/>
      <c r="B176" s="8" t="s">
        <v>306</v>
      </c>
      <c r="C176" s="8" t="s">
        <v>1</v>
      </c>
      <c r="D176" s="9" t="s">
        <v>307</v>
      </c>
      <c r="E176" s="10">
        <f t="shared" ref="E176:BT176" si="403">SUM(E177:E178)</f>
        <v>65062888</v>
      </c>
      <c r="F176" s="11">
        <f t="shared" si="403"/>
        <v>65004915</v>
      </c>
      <c r="G176" s="11">
        <f t="shared" si="403"/>
        <v>64785327</v>
      </c>
      <c r="H176" s="11">
        <f t="shared" si="403"/>
        <v>19447161</v>
      </c>
      <c r="I176" s="11">
        <f t="shared" si="403"/>
        <v>4615642</v>
      </c>
      <c r="J176" s="11">
        <f t="shared" si="403"/>
        <v>39362451</v>
      </c>
      <c r="K176" s="11">
        <f t="shared" si="403"/>
        <v>37852912</v>
      </c>
      <c r="L176" s="11">
        <f t="shared" si="403"/>
        <v>193450</v>
      </c>
      <c r="M176" s="11">
        <f t="shared" si="403"/>
        <v>790834</v>
      </c>
      <c r="N176" s="11">
        <f t="shared" si="403"/>
        <v>0</v>
      </c>
      <c r="O176" s="11">
        <f t="shared" si="403"/>
        <v>449322</v>
      </c>
      <c r="P176" s="11">
        <f t="shared" si="403"/>
        <v>75933</v>
      </c>
      <c r="Q176" s="11">
        <f t="shared" si="403"/>
        <v>1022</v>
      </c>
      <c r="R176" s="11">
        <f t="shared" si="403"/>
        <v>0</v>
      </c>
      <c r="S176" s="11">
        <f t="shared" si="403"/>
        <v>1022</v>
      </c>
      <c r="T176" s="11">
        <f t="shared" si="403"/>
        <v>0</v>
      </c>
      <c r="U176" s="11">
        <f t="shared" si="403"/>
        <v>216614</v>
      </c>
      <c r="V176" s="11">
        <f t="shared" si="403"/>
        <v>897630</v>
      </c>
      <c r="W176" s="11">
        <f t="shared" si="403"/>
        <v>19620</v>
      </c>
      <c r="X176" s="11">
        <f t="shared" si="403"/>
        <v>578960</v>
      </c>
      <c r="Y176" s="11">
        <f t="shared" si="403"/>
        <v>150586</v>
      </c>
      <c r="Z176" s="11">
        <f t="shared" si="403"/>
        <v>101471</v>
      </c>
      <c r="AA176" s="11">
        <f t="shared" si="403"/>
        <v>6966</v>
      </c>
      <c r="AB176" s="11">
        <f t="shared" si="403"/>
        <v>0</v>
      </c>
      <c r="AC176" s="11">
        <f t="shared" si="403"/>
        <v>0</v>
      </c>
      <c r="AD176" s="11">
        <f t="shared" si="403"/>
        <v>40027</v>
      </c>
      <c r="AE176" s="11">
        <f t="shared" si="403"/>
        <v>0</v>
      </c>
      <c r="AF176" s="11">
        <f t="shared" si="403"/>
        <v>244807</v>
      </c>
      <c r="AG176" s="11">
        <f t="shared" si="403"/>
        <v>0</v>
      </c>
      <c r="AH176" s="11">
        <f t="shared" si="403"/>
        <v>0</v>
      </c>
      <c r="AI176" s="11">
        <f t="shared" si="403"/>
        <v>625</v>
      </c>
      <c r="AJ176" s="11">
        <f t="shared" si="403"/>
        <v>16204</v>
      </c>
      <c r="AK176" s="11">
        <f t="shared" si="403"/>
        <v>0</v>
      </c>
      <c r="AL176" s="11">
        <f t="shared" si="403"/>
        <v>1591</v>
      </c>
      <c r="AM176" s="11">
        <f t="shared" si="403"/>
        <v>0</v>
      </c>
      <c r="AN176" s="11">
        <f t="shared" si="403"/>
        <v>77563</v>
      </c>
      <c r="AO176" s="11">
        <f t="shared" si="403"/>
        <v>0</v>
      </c>
      <c r="AP176" s="11">
        <f t="shared" si="403"/>
        <v>0</v>
      </c>
      <c r="AQ176" s="11">
        <f t="shared" si="403"/>
        <v>0</v>
      </c>
      <c r="AR176" s="11">
        <f t="shared" ref="AR176" si="404">SUM(AR177:AR178)</f>
        <v>0</v>
      </c>
      <c r="AS176" s="11">
        <f t="shared" si="403"/>
        <v>0</v>
      </c>
      <c r="AT176" s="11">
        <f t="shared" si="403"/>
        <v>44512</v>
      </c>
      <c r="AU176" s="11">
        <f t="shared" si="403"/>
        <v>14400</v>
      </c>
      <c r="AV176" s="11">
        <f t="shared" si="403"/>
        <v>0</v>
      </c>
      <c r="AW176" s="11">
        <f t="shared" si="403"/>
        <v>57387</v>
      </c>
      <c r="AX176" s="11">
        <f t="shared" si="403"/>
        <v>0</v>
      </c>
      <c r="AY176" s="11">
        <f t="shared" si="403"/>
        <v>0</v>
      </c>
      <c r="AZ176" s="11">
        <f t="shared" si="403"/>
        <v>0</v>
      </c>
      <c r="BA176" s="11">
        <f t="shared" si="403"/>
        <v>0</v>
      </c>
      <c r="BB176" s="11">
        <f t="shared" si="403"/>
        <v>32525</v>
      </c>
      <c r="BC176" s="11">
        <f t="shared" si="403"/>
        <v>219588</v>
      </c>
      <c r="BD176" s="11">
        <f t="shared" si="403"/>
        <v>0</v>
      </c>
      <c r="BE176" s="11">
        <f t="shared" si="403"/>
        <v>0</v>
      </c>
      <c r="BF176" s="11">
        <f t="shared" si="403"/>
        <v>0</v>
      </c>
      <c r="BG176" s="11">
        <f t="shared" si="403"/>
        <v>0</v>
      </c>
      <c r="BH176" s="11">
        <f t="shared" si="403"/>
        <v>0</v>
      </c>
      <c r="BI176" s="11">
        <f t="shared" si="403"/>
        <v>0</v>
      </c>
      <c r="BJ176" s="11">
        <f t="shared" si="403"/>
        <v>0</v>
      </c>
      <c r="BK176" s="11">
        <f t="shared" si="403"/>
        <v>0</v>
      </c>
      <c r="BL176" s="11">
        <f t="shared" si="403"/>
        <v>0</v>
      </c>
      <c r="BM176" s="11">
        <f t="shared" si="403"/>
        <v>0</v>
      </c>
      <c r="BN176" s="11">
        <f t="shared" si="403"/>
        <v>0</v>
      </c>
      <c r="BO176" s="11">
        <f t="shared" si="403"/>
        <v>0</v>
      </c>
      <c r="BP176" s="11">
        <f t="shared" ref="BP176" si="405">SUM(BP177:BP178)</f>
        <v>0</v>
      </c>
      <c r="BQ176" s="11">
        <f t="shared" si="403"/>
        <v>219588</v>
      </c>
      <c r="BR176" s="11">
        <f t="shared" si="403"/>
        <v>0</v>
      </c>
      <c r="BS176" s="11">
        <f t="shared" si="403"/>
        <v>0</v>
      </c>
      <c r="BT176" s="11">
        <f t="shared" si="403"/>
        <v>0</v>
      </c>
      <c r="BU176" s="11">
        <f t="shared" ref="BU176:CX176" si="406">SUM(BU177:BU178)</f>
        <v>0</v>
      </c>
      <c r="BV176" s="11">
        <f t="shared" si="406"/>
        <v>0</v>
      </c>
      <c r="BW176" s="11">
        <f t="shared" si="406"/>
        <v>0</v>
      </c>
      <c r="BX176" s="11">
        <f t="shared" si="406"/>
        <v>0</v>
      </c>
      <c r="BY176" s="11">
        <f t="shared" si="406"/>
        <v>0</v>
      </c>
      <c r="BZ176" s="11">
        <f t="shared" si="406"/>
        <v>0</v>
      </c>
      <c r="CA176" s="11">
        <f t="shared" si="406"/>
        <v>0</v>
      </c>
      <c r="CB176" s="11">
        <f t="shared" si="406"/>
        <v>219588</v>
      </c>
      <c r="CC176" s="11">
        <f t="shared" si="406"/>
        <v>57973</v>
      </c>
      <c r="CD176" s="11">
        <f t="shared" si="406"/>
        <v>57973</v>
      </c>
      <c r="CE176" s="11">
        <f t="shared" si="406"/>
        <v>57973</v>
      </c>
      <c r="CF176" s="11">
        <f t="shared" si="406"/>
        <v>0</v>
      </c>
      <c r="CG176" s="11">
        <f t="shared" si="406"/>
        <v>57973</v>
      </c>
      <c r="CH176" s="11">
        <f t="shared" si="406"/>
        <v>0</v>
      </c>
      <c r="CI176" s="11">
        <f t="shared" si="406"/>
        <v>0</v>
      </c>
      <c r="CJ176" s="11">
        <f t="shared" si="406"/>
        <v>0</v>
      </c>
      <c r="CK176" s="11">
        <f t="shared" si="406"/>
        <v>0</v>
      </c>
      <c r="CL176" s="11">
        <f t="shared" si="406"/>
        <v>0</v>
      </c>
      <c r="CM176" s="11">
        <f t="shared" si="406"/>
        <v>0</v>
      </c>
      <c r="CN176" s="11">
        <f t="shared" si="406"/>
        <v>0</v>
      </c>
      <c r="CO176" s="11">
        <f t="shared" si="406"/>
        <v>0</v>
      </c>
      <c r="CP176" s="11"/>
      <c r="CQ176" s="11">
        <f t="shared" si="406"/>
        <v>0</v>
      </c>
      <c r="CR176" s="11">
        <f t="shared" si="406"/>
        <v>0</v>
      </c>
      <c r="CS176" s="11">
        <f t="shared" si="406"/>
        <v>0</v>
      </c>
      <c r="CT176" s="11">
        <f t="shared" si="406"/>
        <v>0</v>
      </c>
      <c r="CU176" s="11">
        <f t="shared" si="406"/>
        <v>0</v>
      </c>
      <c r="CV176" s="11">
        <f t="shared" si="406"/>
        <v>0</v>
      </c>
      <c r="CW176" s="11">
        <f t="shared" si="406"/>
        <v>0</v>
      </c>
      <c r="CX176" s="12">
        <f t="shared" si="406"/>
        <v>0</v>
      </c>
    </row>
    <row r="177" spans="1:102" ht="15.75" x14ac:dyDescent="0.25">
      <c r="A177" s="13"/>
      <c r="B177" s="14" t="s">
        <v>1</v>
      </c>
      <c r="C177" s="14" t="s">
        <v>84</v>
      </c>
      <c r="D177" s="15" t="s">
        <v>308</v>
      </c>
      <c r="E177" s="10">
        <f>SUM(F177+CC177+CU177)</f>
        <v>6425477</v>
      </c>
      <c r="F177" s="11">
        <f>SUM(G177+BC177)</f>
        <v>6367504</v>
      </c>
      <c r="G177" s="11">
        <f>SUM(H177+I177+J177+Q177+T177+U177+V177+AF177+AE177)</f>
        <v>6147916</v>
      </c>
      <c r="H177" s="16">
        <f>3425414+182689-50116</f>
        <v>3557987</v>
      </c>
      <c r="I177" s="16">
        <f>794609+45672</f>
        <v>840281</v>
      </c>
      <c r="J177" s="11">
        <f>SUM(K177:P177)</f>
        <v>1308908</v>
      </c>
      <c r="K177" s="16">
        <f>108835+44747</f>
        <v>153582</v>
      </c>
      <c r="L177" s="16">
        <v>193450</v>
      </c>
      <c r="M177" s="16">
        <f>478209+312625</f>
        <v>790834</v>
      </c>
      <c r="N177" s="16"/>
      <c r="O177" s="16">
        <v>95109</v>
      </c>
      <c r="P177" s="16">
        <f>62832+13101</f>
        <v>75933</v>
      </c>
      <c r="Q177" s="11">
        <f t="shared" si="334"/>
        <v>1022</v>
      </c>
      <c r="R177" s="11">
        <v>0</v>
      </c>
      <c r="S177" s="11">
        <v>1022</v>
      </c>
      <c r="T177" s="11">
        <v>0</v>
      </c>
      <c r="U177" s="16">
        <v>14736</v>
      </c>
      <c r="V177" s="11">
        <f t="shared" ref="V177:V178" si="407">SUM(W177:AD177)</f>
        <v>223484</v>
      </c>
      <c r="W177" s="16">
        <v>19620</v>
      </c>
      <c r="X177" s="16"/>
      <c r="Y177" s="16">
        <f>69188+28876</f>
        <v>98064</v>
      </c>
      <c r="Z177" s="16">
        <v>62824</v>
      </c>
      <c r="AA177" s="16">
        <v>6522</v>
      </c>
      <c r="AB177" s="16"/>
      <c r="AC177" s="16"/>
      <c r="AD177" s="16">
        <f>34351+2103</f>
        <v>36454</v>
      </c>
      <c r="AE177" s="11"/>
      <c r="AF177" s="11">
        <f>SUM(AG177:BB177)</f>
        <v>201498</v>
      </c>
      <c r="AG177" s="11">
        <v>0</v>
      </c>
      <c r="AH177" s="11"/>
      <c r="AI177" s="11">
        <v>625</v>
      </c>
      <c r="AJ177" s="11">
        <v>16204</v>
      </c>
      <c r="AK177" s="11">
        <v>0</v>
      </c>
      <c r="AL177" s="11">
        <v>1591</v>
      </c>
      <c r="AM177" s="11">
        <v>0</v>
      </c>
      <c r="AN177" s="11">
        <v>34254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  <c r="AT177" s="16">
        <v>44512</v>
      </c>
      <c r="AU177" s="16">
        <v>14400</v>
      </c>
      <c r="AV177" s="11"/>
      <c r="AW177" s="16">
        <f>18178+39209</f>
        <v>57387</v>
      </c>
      <c r="AX177" s="11">
        <v>0</v>
      </c>
      <c r="AY177" s="11">
        <v>0</v>
      </c>
      <c r="AZ177" s="11">
        <v>0</v>
      </c>
      <c r="BA177" s="11">
        <v>0</v>
      </c>
      <c r="BB177" s="11">
        <v>32525</v>
      </c>
      <c r="BC177" s="11">
        <f>SUM(BD177+BH177+BL177+BN177+BQ177)</f>
        <v>219588</v>
      </c>
      <c r="BD177" s="11">
        <f>SUM(BE177:BG177)</f>
        <v>0</v>
      </c>
      <c r="BE177" s="11">
        <v>0</v>
      </c>
      <c r="BF177" s="11">
        <v>0</v>
      </c>
      <c r="BG177" s="11">
        <v>0</v>
      </c>
      <c r="BH177" s="11">
        <f t="shared" si="336"/>
        <v>0</v>
      </c>
      <c r="BI177" s="11">
        <v>0</v>
      </c>
      <c r="BJ177" s="11">
        <v>0</v>
      </c>
      <c r="BK177" s="11">
        <v>0</v>
      </c>
      <c r="BL177" s="11">
        <v>0</v>
      </c>
      <c r="BM177" s="11">
        <v>0</v>
      </c>
      <c r="BN177" s="11">
        <f t="shared" si="337"/>
        <v>0</v>
      </c>
      <c r="BO177" s="11">
        <v>0</v>
      </c>
      <c r="BP177" s="11">
        <v>0</v>
      </c>
      <c r="BQ177" s="11">
        <f t="shared" si="338"/>
        <v>219588</v>
      </c>
      <c r="BR177" s="11">
        <v>0</v>
      </c>
      <c r="BS177" s="11">
        <v>0</v>
      </c>
      <c r="BT177" s="11">
        <v>0</v>
      </c>
      <c r="BU177" s="11">
        <v>0</v>
      </c>
      <c r="BV177" s="11">
        <v>0</v>
      </c>
      <c r="BW177" s="11">
        <v>0</v>
      </c>
      <c r="BX177" s="11">
        <v>0</v>
      </c>
      <c r="BY177" s="11">
        <v>0</v>
      </c>
      <c r="BZ177" s="11">
        <v>0</v>
      </c>
      <c r="CA177" s="11">
        <v>0</v>
      </c>
      <c r="CB177" s="16">
        <f>183737+35851</f>
        <v>219588</v>
      </c>
      <c r="CC177" s="11">
        <f>SUM(CD177+CT177)</f>
        <v>57973</v>
      </c>
      <c r="CD177" s="11">
        <f>SUM(CE177+CH177+CM177)</f>
        <v>57973</v>
      </c>
      <c r="CE177" s="11">
        <f t="shared" si="339"/>
        <v>57973</v>
      </c>
      <c r="CF177" s="11">
        <v>0</v>
      </c>
      <c r="CG177" s="11">
        <v>57973</v>
      </c>
      <c r="CH177" s="11">
        <f>SUM(CI177:CL177)</f>
        <v>0</v>
      </c>
      <c r="CI177" s="11">
        <v>0</v>
      </c>
      <c r="CJ177" s="11">
        <v>0</v>
      </c>
      <c r="CK177" s="11">
        <v>0</v>
      </c>
      <c r="CL177" s="11">
        <v>0</v>
      </c>
      <c r="CM177" s="11">
        <f>SUM(CN177:CQ177)</f>
        <v>0</v>
      </c>
      <c r="CN177" s="11">
        <v>0</v>
      </c>
      <c r="CO177" s="11">
        <v>0</v>
      </c>
      <c r="CP177" s="11"/>
      <c r="CQ177" s="11">
        <v>0</v>
      </c>
      <c r="CR177" s="11">
        <v>0</v>
      </c>
      <c r="CS177" s="11">
        <v>0</v>
      </c>
      <c r="CT177" s="11">
        <v>0</v>
      </c>
      <c r="CU177" s="11">
        <f t="shared" si="340"/>
        <v>0</v>
      </c>
      <c r="CV177" s="11">
        <f t="shared" si="341"/>
        <v>0</v>
      </c>
      <c r="CW177" s="11">
        <v>0</v>
      </c>
      <c r="CX177" s="12">
        <v>0</v>
      </c>
    </row>
    <row r="178" spans="1:102" ht="15.75" x14ac:dyDescent="0.25">
      <c r="A178" s="13"/>
      <c r="B178" s="14" t="s">
        <v>1</v>
      </c>
      <c r="C178" s="14" t="s">
        <v>86</v>
      </c>
      <c r="D178" s="15" t="s">
        <v>309</v>
      </c>
      <c r="E178" s="10">
        <f>SUM(F178+CC178+CU178)</f>
        <v>58637411</v>
      </c>
      <c r="F178" s="11">
        <f>SUM(G178+BC178)</f>
        <v>58637411</v>
      </c>
      <c r="G178" s="11">
        <f>SUM(H178+I178+J178+Q178+T178+U178+V178+AF178+AE178)</f>
        <v>58637411</v>
      </c>
      <c r="H178" s="16">
        <f>14374891+921360+592923</f>
        <v>15889174</v>
      </c>
      <c r="I178" s="16">
        <f>3399686+234904+140771</f>
        <v>3775361</v>
      </c>
      <c r="J178" s="11">
        <f>SUM(K178:P178)</f>
        <v>38053543</v>
      </c>
      <c r="K178" s="16">
        <f>4681330+33018000</f>
        <v>37699330</v>
      </c>
      <c r="L178" s="16"/>
      <c r="M178" s="16"/>
      <c r="N178" s="16"/>
      <c r="O178" s="16">
        <v>354213</v>
      </c>
      <c r="P178" s="16"/>
      <c r="Q178" s="11">
        <f t="shared" si="334"/>
        <v>0</v>
      </c>
      <c r="R178" s="11">
        <v>0</v>
      </c>
      <c r="S178" s="11">
        <v>0</v>
      </c>
      <c r="T178" s="11">
        <v>0</v>
      </c>
      <c r="U178" s="16">
        <v>201878</v>
      </c>
      <c r="V178" s="11">
        <f t="shared" si="407"/>
        <v>674146</v>
      </c>
      <c r="W178" s="16"/>
      <c r="X178" s="16">
        <f>514434+64526</f>
        <v>578960</v>
      </c>
      <c r="Y178" s="16">
        <f>51822+700</f>
        <v>52522</v>
      </c>
      <c r="Z178" s="16">
        <v>38647</v>
      </c>
      <c r="AA178" s="16">
        <v>444</v>
      </c>
      <c r="AB178" s="16"/>
      <c r="AC178" s="16"/>
      <c r="AD178" s="16">
        <v>3573</v>
      </c>
      <c r="AE178" s="11"/>
      <c r="AF178" s="11">
        <f>SUM(AG178:BB178)</f>
        <v>43309</v>
      </c>
      <c r="AG178" s="11">
        <v>0</v>
      </c>
      <c r="AH178" s="11">
        <v>0</v>
      </c>
      <c r="AI178" s="11">
        <v>0</v>
      </c>
      <c r="AJ178" s="11"/>
      <c r="AK178" s="11">
        <v>0</v>
      </c>
      <c r="AL178" s="11"/>
      <c r="AM178" s="11">
        <v>0</v>
      </c>
      <c r="AN178" s="11">
        <v>43309</v>
      </c>
      <c r="AO178" s="11">
        <v>0</v>
      </c>
      <c r="AP178" s="11">
        <v>0</v>
      </c>
      <c r="AQ178" s="11">
        <v>0</v>
      </c>
      <c r="AR178" s="11">
        <v>0</v>
      </c>
      <c r="AS178" s="11">
        <v>0</v>
      </c>
      <c r="AT178" s="11">
        <v>0</v>
      </c>
      <c r="AU178" s="11">
        <v>0</v>
      </c>
      <c r="AV178" s="11"/>
      <c r="AW178" s="11"/>
      <c r="AX178" s="11">
        <v>0</v>
      </c>
      <c r="AY178" s="11">
        <v>0</v>
      </c>
      <c r="AZ178" s="11">
        <v>0</v>
      </c>
      <c r="BA178" s="11">
        <v>0</v>
      </c>
      <c r="BB178" s="11">
        <v>0</v>
      </c>
      <c r="BC178" s="11">
        <f>SUM(BD178+BH178+BL178+BN178+BQ178)</f>
        <v>0</v>
      </c>
      <c r="BD178" s="11">
        <f>SUM(BE178:BG178)</f>
        <v>0</v>
      </c>
      <c r="BE178" s="11">
        <v>0</v>
      </c>
      <c r="BF178" s="11">
        <v>0</v>
      </c>
      <c r="BG178" s="11">
        <v>0</v>
      </c>
      <c r="BH178" s="11">
        <f t="shared" si="336"/>
        <v>0</v>
      </c>
      <c r="BI178" s="11">
        <v>0</v>
      </c>
      <c r="BJ178" s="11">
        <v>0</v>
      </c>
      <c r="BK178" s="11">
        <v>0</v>
      </c>
      <c r="BL178" s="11">
        <v>0</v>
      </c>
      <c r="BM178" s="11">
        <v>0</v>
      </c>
      <c r="BN178" s="11">
        <f t="shared" si="337"/>
        <v>0</v>
      </c>
      <c r="BO178" s="11">
        <v>0</v>
      </c>
      <c r="BP178" s="11">
        <v>0</v>
      </c>
      <c r="BQ178" s="11">
        <f t="shared" si="338"/>
        <v>0</v>
      </c>
      <c r="BR178" s="11">
        <v>0</v>
      </c>
      <c r="BS178" s="11">
        <v>0</v>
      </c>
      <c r="BT178" s="11">
        <v>0</v>
      </c>
      <c r="BU178" s="11">
        <v>0</v>
      </c>
      <c r="BV178" s="11">
        <v>0</v>
      </c>
      <c r="BW178" s="11">
        <v>0</v>
      </c>
      <c r="BX178" s="11">
        <v>0</v>
      </c>
      <c r="BY178" s="11">
        <v>0</v>
      </c>
      <c r="BZ178" s="11">
        <v>0</v>
      </c>
      <c r="CA178" s="11">
        <v>0</v>
      </c>
      <c r="CB178" s="11">
        <v>0</v>
      </c>
      <c r="CC178" s="11">
        <f>SUM(CD178+CT178)</f>
        <v>0</v>
      </c>
      <c r="CD178" s="11">
        <f>SUM(CE178+CH178+CM178)</f>
        <v>0</v>
      </c>
      <c r="CE178" s="11">
        <f t="shared" si="339"/>
        <v>0</v>
      </c>
      <c r="CF178" s="11">
        <v>0</v>
      </c>
      <c r="CG178" s="11"/>
      <c r="CH178" s="11">
        <f>SUM(CI178:CL178)</f>
        <v>0</v>
      </c>
      <c r="CI178" s="11">
        <v>0</v>
      </c>
      <c r="CJ178" s="11">
        <v>0</v>
      </c>
      <c r="CK178" s="11">
        <v>0</v>
      </c>
      <c r="CL178" s="11">
        <v>0</v>
      </c>
      <c r="CM178" s="11">
        <f>SUM(CN178:CQ178)</f>
        <v>0</v>
      </c>
      <c r="CN178" s="11">
        <v>0</v>
      </c>
      <c r="CO178" s="11">
        <v>0</v>
      </c>
      <c r="CP178" s="11"/>
      <c r="CQ178" s="11">
        <v>0</v>
      </c>
      <c r="CR178" s="11">
        <v>0</v>
      </c>
      <c r="CS178" s="11">
        <v>0</v>
      </c>
      <c r="CT178" s="11">
        <v>0</v>
      </c>
      <c r="CU178" s="11">
        <f t="shared" si="340"/>
        <v>0</v>
      </c>
      <c r="CV178" s="11">
        <f t="shared" si="341"/>
        <v>0</v>
      </c>
      <c r="CW178" s="11">
        <v>0</v>
      </c>
      <c r="CX178" s="12">
        <v>0</v>
      </c>
    </row>
    <row r="179" spans="1:102" ht="31.5" x14ac:dyDescent="0.25">
      <c r="A179" s="7"/>
      <c r="B179" s="8" t="s">
        <v>310</v>
      </c>
      <c r="C179" s="8" t="s">
        <v>1</v>
      </c>
      <c r="D179" s="9" t="s">
        <v>311</v>
      </c>
      <c r="E179" s="10">
        <f>SUM(E180)</f>
        <v>27283746</v>
      </c>
      <c r="F179" s="11">
        <f t="shared" ref="F179:BW179" si="408">SUM(F180)</f>
        <v>27283746</v>
      </c>
      <c r="G179" s="11">
        <f t="shared" si="408"/>
        <v>27283746</v>
      </c>
      <c r="H179" s="11">
        <f t="shared" si="408"/>
        <v>0</v>
      </c>
      <c r="I179" s="11">
        <f t="shared" si="408"/>
        <v>0</v>
      </c>
      <c r="J179" s="11">
        <f t="shared" si="408"/>
        <v>22653568</v>
      </c>
      <c r="K179" s="11">
        <f t="shared" si="408"/>
        <v>22653568</v>
      </c>
      <c r="L179" s="11">
        <f t="shared" si="408"/>
        <v>0</v>
      </c>
      <c r="M179" s="11">
        <f t="shared" si="408"/>
        <v>0</v>
      </c>
      <c r="N179" s="11">
        <f t="shared" si="408"/>
        <v>0</v>
      </c>
      <c r="O179" s="11">
        <f t="shared" si="408"/>
        <v>0</v>
      </c>
      <c r="P179" s="11">
        <f t="shared" si="408"/>
        <v>0</v>
      </c>
      <c r="Q179" s="11">
        <f t="shared" si="408"/>
        <v>0</v>
      </c>
      <c r="R179" s="11">
        <f t="shared" si="408"/>
        <v>0</v>
      </c>
      <c r="S179" s="11">
        <f t="shared" si="408"/>
        <v>0</v>
      </c>
      <c r="T179" s="11">
        <f t="shared" si="408"/>
        <v>0</v>
      </c>
      <c r="U179" s="11">
        <f t="shared" si="408"/>
        <v>0</v>
      </c>
      <c r="V179" s="11">
        <f t="shared" si="408"/>
        <v>0</v>
      </c>
      <c r="W179" s="11">
        <f t="shared" si="408"/>
        <v>0</v>
      </c>
      <c r="X179" s="11">
        <f t="shared" si="408"/>
        <v>0</v>
      </c>
      <c r="Y179" s="11">
        <f t="shared" si="408"/>
        <v>0</v>
      </c>
      <c r="Z179" s="11">
        <f t="shared" si="408"/>
        <v>0</v>
      </c>
      <c r="AA179" s="11">
        <f t="shared" si="408"/>
        <v>0</v>
      </c>
      <c r="AB179" s="11">
        <f t="shared" si="408"/>
        <v>0</v>
      </c>
      <c r="AC179" s="11">
        <f t="shared" si="408"/>
        <v>0</v>
      </c>
      <c r="AD179" s="11">
        <f t="shared" si="408"/>
        <v>0</v>
      </c>
      <c r="AE179" s="11">
        <f t="shared" si="408"/>
        <v>0</v>
      </c>
      <c r="AF179" s="11">
        <f t="shared" si="408"/>
        <v>4630178</v>
      </c>
      <c r="AG179" s="11">
        <f t="shared" si="408"/>
        <v>0</v>
      </c>
      <c r="AH179" s="11">
        <f t="shared" si="408"/>
        <v>0</v>
      </c>
      <c r="AI179" s="11">
        <f t="shared" si="408"/>
        <v>0</v>
      </c>
      <c r="AJ179" s="11">
        <f t="shared" si="408"/>
        <v>0</v>
      </c>
      <c r="AK179" s="11">
        <f t="shared" si="408"/>
        <v>0</v>
      </c>
      <c r="AL179" s="11">
        <f t="shared" si="408"/>
        <v>0</v>
      </c>
      <c r="AM179" s="11">
        <f t="shared" si="408"/>
        <v>0</v>
      </c>
      <c r="AN179" s="11">
        <f t="shared" si="408"/>
        <v>0</v>
      </c>
      <c r="AO179" s="11">
        <f t="shared" si="408"/>
        <v>0</v>
      </c>
      <c r="AP179" s="11">
        <f t="shared" si="408"/>
        <v>0</v>
      </c>
      <c r="AQ179" s="11">
        <f t="shared" si="408"/>
        <v>0</v>
      </c>
      <c r="AR179" s="11">
        <f t="shared" si="408"/>
        <v>0</v>
      </c>
      <c r="AS179" s="11">
        <f t="shared" si="408"/>
        <v>0</v>
      </c>
      <c r="AT179" s="11">
        <f t="shared" si="408"/>
        <v>0</v>
      </c>
      <c r="AU179" s="11">
        <f t="shared" si="408"/>
        <v>0</v>
      </c>
      <c r="AV179" s="11"/>
      <c r="AW179" s="11"/>
      <c r="AX179" s="11">
        <f t="shared" si="408"/>
        <v>3137918</v>
      </c>
      <c r="AY179" s="11">
        <f t="shared" si="408"/>
        <v>0</v>
      </c>
      <c r="AZ179" s="11">
        <f t="shared" si="408"/>
        <v>0</v>
      </c>
      <c r="BA179" s="11">
        <f t="shared" si="408"/>
        <v>0</v>
      </c>
      <c r="BB179" s="11">
        <f t="shared" si="408"/>
        <v>1492260</v>
      </c>
      <c r="BC179" s="11">
        <f t="shared" si="408"/>
        <v>0</v>
      </c>
      <c r="BD179" s="11">
        <f t="shared" si="408"/>
        <v>0</v>
      </c>
      <c r="BE179" s="11">
        <f t="shared" si="408"/>
        <v>0</v>
      </c>
      <c r="BF179" s="11">
        <f t="shared" si="408"/>
        <v>0</v>
      </c>
      <c r="BG179" s="11">
        <f t="shared" si="408"/>
        <v>0</v>
      </c>
      <c r="BH179" s="11">
        <f t="shared" si="408"/>
        <v>0</v>
      </c>
      <c r="BI179" s="11">
        <f t="shared" si="408"/>
        <v>0</v>
      </c>
      <c r="BJ179" s="11">
        <f t="shared" si="408"/>
        <v>0</v>
      </c>
      <c r="BK179" s="11">
        <f t="shared" si="408"/>
        <v>0</v>
      </c>
      <c r="BL179" s="11">
        <f t="shared" si="408"/>
        <v>0</v>
      </c>
      <c r="BM179" s="11">
        <f t="shared" si="408"/>
        <v>0</v>
      </c>
      <c r="BN179" s="11">
        <f t="shared" si="408"/>
        <v>0</v>
      </c>
      <c r="BO179" s="11">
        <f t="shared" si="408"/>
        <v>0</v>
      </c>
      <c r="BP179" s="11">
        <f t="shared" si="408"/>
        <v>0</v>
      </c>
      <c r="BQ179" s="11">
        <f t="shared" si="408"/>
        <v>0</v>
      </c>
      <c r="BR179" s="11">
        <f t="shared" si="408"/>
        <v>0</v>
      </c>
      <c r="BS179" s="11">
        <f t="shared" si="408"/>
        <v>0</v>
      </c>
      <c r="BT179" s="11">
        <f t="shared" si="408"/>
        <v>0</v>
      </c>
      <c r="BU179" s="11">
        <f t="shared" si="408"/>
        <v>0</v>
      </c>
      <c r="BV179" s="11">
        <f t="shared" si="408"/>
        <v>0</v>
      </c>
      <c r="BW179" s="11">
        <f t="shared" si="408"/>
        <v>0</v>
      </c>
      <c r="BX179" s="11">
        <f t="shared" ref="BX179:CX179" si="409">SUM(BX180)</f>
        <v>0</v>
      </c>
      <c r="BY179" s="11">
        <f t="shared" si="409"/>
        <v>0</v>
      </c>
      <c r="BZ179" s="11">
        <f t="shared" si="409"/>
        <v>0</v>
      </c>
      <c r="CA179" s="11">
        <f t="shared" si="409"/>
        <v>0</v>
      </c>
      <c r="CB179" s="11">
        <f t="shared" si="409"/>
        <v>0</v>
      </c>
      <c r="CC179" s="11">
        <f t="shared" si="409"/>
        <v>0</v>
      </c>
      <c r="CD179" s="11">
        <f t="shared" si="409"/>
        <v>0</v>
      </c>
      <c r="CE179" s="11">
        <f t="shared" si="409"/>
        <v>0</v>
      </c>
      <c r="CF179" s="11">
        <f t="shared" si="409"/>
        <v>0</v>
      </c>
      <c r="CG179" s="11">
        <f t="shared" si="409"/>
        <v>0</v>
      </c>
      <c r="CH179" s="11">
        <f t="shared" si="409"/>
        <v>0</v>
      </c>
      <c r="CI179" s="11">
        <f t="shared" si="409"/>
        <v>0</v>
      </c>
      <c r="CJ179" s="11">
        <f t="shared" si="409"/>
        <v>0</v>
      </c>
      <c r="CK179" s="11">
        <f t="shared" si="409"/>
        <v>0</v>
      </c>
      <c r="CL179" s="11">
        <f t="shared" si="409"/>
        <v>0</v>
      </c>
      <c r="CM179" s="11">
        <f t="shared" si="409"/>
        <v>0</v>
      </c>
      <c r="CN179" s="11">
        <f t="shared" si="409"/>
        <v>0</v>
      </c>
      <c r="CO179" s="11">
        <f t="shared" si="409"/>
        <v>0</v>
      </c>
      <c r="CP179" s="11"/>
      <c r="CQ179" s="11">
        <f t="shared" si="409"/>
        <v>0</v>
      </c>
      <c r="CR179" s="11">
        <f t="shared" si="409"/>
        <v>0</v>
      </c>
      <c r="CS179" s="11">
        <f t="shared" si="409"/>
        <v>0</v>
      </c>
      <c r="CT179" s="11">
        <f t="shared" si="409"/>
        <v>0</v>
      </c>
      <c r="CU179" s="11">
        <f t="shared" si="409"/>
        <v>0</v>
      </c>
      <c r="CV179" s="11">
        <f t="shared" si="409"/>
        <v>0</v>
      </c>
      <c r="CW179" s="11">
        <f t="shared" si="409"/>
        <v>0</v>
      </c>
      <c r="CX179" s="12">
        <f t="shared" si="409"/>
        <v>0</v>
      </c>
    </row>
    <row r="180" spans="1:102" ht="31.5" x14ac:dyDescent="0.25">
      <c r="A180" s="13"/>
      <c r="B180" s="14" t="s">
        <v>1</v>
      </c>
      <c r="C180" s="14" t="s">
        <v>86</v>
      </c>
      <c r="D180" s="15" t="s">
        <v>312</v>
      </c>
      <c r="E180" s="10">
        <f>SUM(F180+CC180+CU180)</f>
        <v>27283746</v>
      </c>
      <c r="F180" s="11">
        <f>SUM(G180+BC180)</f>
        <v>27283746</v>
      </c>
      <c r="G180" s="11">
        <f>SUM(H180+I180+J180+Q180+T180+U180+V180+AF180+AE180)</f>
        <v>27283746</v>
      </c>
      <c r="H180" s="11">
        <v>0</v>
      </c>
      <c r="I180" s="11">
        <v>0</v>
      </c>
      <c r="J180" s="11">
        <f>SUM(K180:P180)</f>
        <v>22653568</v>
      </c>
      <c r="K180" s="16">
        <v>22653568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f t="shared" si="334"/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f t="shared" ref="V180" si="410">SUM(W180:AD180)</f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6">
        <v>4630178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  <c r="AU180" s="11">
        <v>0</v>
      </c>
      <c r="AV180" s="11"/>
      <c r="AW180" s="11"/>
      <c r="AX180" s="11">
        <v>3137918</v>
      </c>
      <c r="AY180" s="11">
        <v>0</v>
      </c>
      <c r="AZ180" s="11">
        <v>0</v>
      </c>
      <c r="BA180" s="11">
        <v>0</v>
      </c>
      <c r="BB180" s="16">
        <v>1492260</v>
      </c>
      <c r="BC180" s="11">
        <f>SUM(BD180+BH180+BL180+BN180+BQ180)</f>
        <v>0</v>
      </c>
      <c r="BD180" s="11">
        <f>SUM(BE180:BG180)</f>
        <v>0</v>
      </c>
      <c r="BE180" s="11">
        <v>0</v>
      </c>
      <c r="BF180" s="11">
        <v>0</v>
      </c>
      <c r="BG180" s="11">
        <v>0</v>
      </c>
      <c r="BH180" s="11">
        <f t="shared" si="336"/>
        <v>0</v>
      </c>
      <c r="BI180" s="11">
        <v>0</v>
      </c>
      <c r="BJ180" s="11">
        <v>0</v>
      </c>
      <c r="BK180" s="11">
        <v>0</v>
      </c>
      <c r="BL180" s="11">
        <v>0</v>
      </c>
      <c r="BM180" s="11">
        <v>0</v>
      </c>
      <c r="BN180" s="11">
        <f t="shared" si="337"/>
        <v>0</v>
      </c>
      <c r="BO180" s="11">
        <v>0</v>
      </c>
      <c r="BP180" s="11">
        <v>0</v>
      </c>
      <c r="BQ180" s="11">
        <f t="shared" si="338"/>
        <v>0</v>
      </c>
      <c r="BR180" s="11">
        <v>0</v>
      </c>
      <c r="BS180" s="11">
        <v>0</v>
      </c>
      <c r="BT180" s="11">
        <v>0</v>
      </c>
      <c r="BU180" s="11">
        <v>0</v>
      </c>
      <c r="BV180" s="11">
        <v>0</v>
      </c>
      <c r="BW180" s="11">
        <v>0</v>
      </c>
      <c r="BX180" s="11">
        <v>0</v>
      </c>
      <c r="BY180" s="11">
        <v>0</v>
      </c>
      <c r="BZ180" s="11">
        <v>0</v>
      </c>
      <c r="CA180" s="11">
        <v>0</v>
      </c>
      <c r="CB180" s="11">
        <v>0</v>
      </c>
      <c r="CC180" s="11">
        <f>SUM(CD180+CT180)</f>
        <v>0</v>
      </c>
      <c r="CD180" s="11">
        <f>SUM(CE180+CH180+CM180)</f>
        <v>0</v>
      </c>
      <c r="CE180" s="11">
        <f t="shared" si="339"/>
        <v>0</v>
      </c>
      <c r="CF180" s="11">
        <v>0</v>
      </c>
      <c r="CG180" s="11">
        <v>0</v>
      </c>
      <c r="CH180" s="11">
        <f>SUM(CI180:CL180)</f>
        <v>0</v>
      </c>
      <c r="CI180" s="11">
        <v>0</v>
      </c>
      <c r="CJ180" s="11">
        <v>0</v>
      </c>
      <c r="CK180" s="11">
        <v>0</v>
      </c>
      <c r="CL180" s="11">
        <v>0</v>
      </c>
      <c r="CM180" s="11">
        <f>SUM(CN180:CQ180)</f>
        <v>0</v>
      </c>
      <c r="CN180" s="11">
        <v>0</v>
      </c>
      <c r="CO180" s="11">
        <v>0</v>
      </c>
      <c r="CP180" s="11"/>
      <c r="CQ180" s="11">
        <v>0</v>
      </c>
      <c r="CR180" s="11">
        <v>0</v>
      </c>
      <c r="CS180" s="11">
        <v>0</v>
      </c>
      <c r="CT180" s="11">
        <v>0</v>
      </c>
      <c r="CU180" s="11">
        <f t="shared" si="340"/>
        <v>0</v>
      </c>
      <c r="CV180" s="11">
        <f t="shared" si="341"/>
        <v>0</v>
      </c>
      <c r="CW180" s="11">
        <v>0</v>
      </c>
      <c r="CX180" s="12">
        <v>0</v>
      </c>
    </row>
    <row r="181" spans="1:102" ht="31.5" x14ac:dyDescent="0.25">
      <c r="A181" s="7"/>
      <c r="B181" s="8" t="s">
        <v>313</v>
      </c>
      <c r="C181" s="8" t="s">
        <v>1</v>
      </c>
      <c r="D181" s="9" t="s">
        <v>314</v>
      </c>
      <c r="E181" s="10">
        <f t="shared" ref="E181:AL181" si="411">SUM(E182)</f>
        <v>2323041</v>
      </c>
      <c r="F181" s="11">
        <f t="shared" si="411"/>
        <v>2297345</v>
      </c>
      <c r="G181" s="11">
        <f t="shared" si="411"/>
        <v>2297345</v>
      </c>
      <c r="H181" s="11">
        <f t="shared" si="411"/>
        <v>1694714</v>
      </c>
      <c r="I181" s="11">
        <f t="shared" si="411"/>
        <v>388111</v>
      </c>
      <c r="J181" s="11">
        <f t="shared" si="411"/>
        <v>139553</v>
      </c>
      <c r="K181" s="11">
        <f t="shared" si="411"/>
        <v>0</v>
      </c>
      <c r="L181" s="11">
        <f t="shared" si="411"/>
        <v>0</v>
      </c>
      <c r="M181" s="11">
        <f t="shared" si="411"/>
        <v>0</v>
      </c>
      <c r="N181" s="11">
        <f t="shared" si="411"/>
        <v>0</v>
      </c>
      <c r="O181" s="11">
        <f t="shared" si="411"/>
        <v>132490</v>
      </c>
      <c r="P181" s="11">
        <f t="shared" si="411"/>
        <v>7063</v>
      </c>
      <c r="Q181" s="11">
        <f t="shared" si="411"/>
        <v>0</v>
      </c>
      <c r="R181" s="11">
        <f t="shared" si="411"/>
        <v>0</v>
      </c>
      <c r="S181" s="11">
        <f t="shared" si="411"/>
        <v>0</v>
      </c>
      <c r="T181" s="11">
        <f t="shared" si="411"/>
        <v>0</v>
      </c>
      <c r="U181" s="11">
        <f t="shared" si="411"/>
        <v>54966</v>
      </c>
      <c r="V181" s="11">
        <f t="shared" si="411"/>
        <v>0</v>
      </c>
      <c r="W181" s="11">
        <f t="shared" si="411"/>
        <v>0</v>
      </c>
      <c r="X181" s="11">
        <f t="shared" si="411"/>
        <v>0</v>
      </c>
      <c r="Y181" s="11">
        <f t="shared" si="411"/>
        <v>0</v>
      </c>
      <c r="Z181" s="11">
        <f t="shared" si="411"/>
        <v>0</v>
      </c>
      <c r="AA181" s="11">
        <f t="shared" si="411"/>
        <v>0</v>
      </c>
      <c r="AB181" s="11">
        <f t="shared" si="411"/>
        <v>0</v>
      </c>
      <c r="AC181" s="11">
        <f t="shared" si="411"/>
        <v>0</v>
      </c>
      <c r="AD181" s="11">
        <f t="shared" si="411"/>
        <v>0</v>
      </c>
      <c r="AE181" s="11">
        <f t="shared" si="411"/>
        <v>0</v>
      </c>
      <c r="AF181" s="11">
        <f t="shared" si="411"/>
        <v>20001</v>
      </c>
      <c r="AG181" s="11">
        <f t="shared" si="411"/>
        <v>0</v>
      </c>
      <c r="AH181" s="11">
        <f t="shared" si="411"/>
        <v>0</v>
      </c>
      <c r="AI181" s="11">
        <f t="shared" si="411"/>
        <v>0</v>
      </c>
      <c r="AJ181" s="11">
        <f t="shared" si="411"/>
        <v>0</v>
      </c>
      <c r="AK181" s="11">
        <f t="shared" si="411"/>
        <v>0</v>
      </c>
      <c r="AL181" s="11">
        <f t="shared" si="411"/>
        <v>625</v>
      </c>
      <c r="AM181" s="11">
        <f t="shared" ref="AM181:CX181" si="412">SUM(AM182)</f>
        <v>0</v>
      </c>
      <c r="AN181" s="11">
        <f t="shared" si="412"/>
        <v>4393</v>
      </c>
      <c r="AO181" s="11">
        <f t="shared" si="412"/>
        <v>11983</v>
      </c>
      <c r="AP181" s="11">
        <f t="shared" si="412"/>
        <v>0</v>
      </c>
      <c r="AQ181" s="11">
        <f t="shared" si="412"/>
        <v>0</v>
      </c>
      <c r="AR181" s="11">
        <f t="shared" si="412"/>
        <v>0</v>
      </c>
      <c r="AS181" s="11">
        <f t="shared" si="412"/>
        <v>0</v>
      </c>
      <c r="AT181" s="11">
        <f t="shared" si="412"/>
        <v>0</v>
      </c>
      <c r="AU181" s="11">
        <f t="shared" si="412"/>
        <v>0</v>
      </c>
      <c r="AV181" s="11"/>
      <c r="AW181" s="11"/>
      <c r="AX181" s="11">
        <f t="shared" si="412"/>
        <v>0</v>
      </c>
      <c r="AY181" s="11">
        <f t="shared" si="412"/>
        <v>0</v>
      </c>
      <c r="AZ181" s="11">
        <f t="shared" si="412"/>
        <v>0</v>
      </c>
      <c r="BA181" s="11">
        <f t="shared" si="412"/>
        <v>0</v>
      </c>
      <c r="BB181" s="11">
        <f t="shared" si="412"/>
        <v>3000</v>
      </c>
      <c r="BC181" s="11">
        <f t="shared" si="412"/>
        <v>0</v>
      </c>
      <c r="BD181" s="11">
        <f t="shared" si="412"/>
        <v>0</v>
      </c>
      <c r="BE181" s="11">
        <f t="shared" si="412"/>
        <v>0</v>
      </c>
      <c r="BF181" s="11">
        <f t="shared" si="412"/>
        <v>0</v>
      </c>
      <c r="BG181" s="11">
        <f t="shared" si="412"/>
        <v>0</v>
      </c>
      <c r="BH181" s="11">
        <f t="shared" si="412"/>
        <v>0</v>
      </c>
      <c r="BI181" s="11">
        <f t="shared" si="412"/>
        <v>0</v>
      </c>
      <c r="BJ181" s="11">
        <f t="shared" si="412"/>
        <v>0</v>
      </c>
      <c r="BK181" s="11">
        <f t="shared" si="412"/>
        <v>0</v>
      </c>
      <c r="BL181" s="11">
        <f t="shared" si="412"/>
        <v>0</v>
      </c>
      <c r="BM181" s="11">
        <f t="shared" si="412"/>
        <v>0</v>
      </c>
      <c r="BN181" s="11">
        <f t="shared" si="412"/>
        <v>0</v>
      </c>
      <c r="BO181" s="11">
        <f t="shared" si="412"/>
        <v>0</v>
      </c>
      <c r="BP181" s="11">
        <f t="shared" si="412"/>
        <v>0</v>
      </c>
      <c r="BQ181" s="11">
        <f t="shared" si="412"/>
        <v>0</v>
      </c>
      <c r="BR181" s="11">
        <f t="shared" si="412"/>
        <v>0</v>
      </c>
      <c r="BS181" s="11">
        <f t="shared" si="412"/>
        <v>0</v>
      </c>
      <c r="BT181" s="11">
        <f t="shared" si="412"/>
        <v>0</v>
      </c>
      <c r="BU181" s="11">
        <f t="shared" si="412"/>
        <v>0</v>
      </c>
      <c r="BV181" s="11">
        <f t="shared" si="412"/>
        <v>0</v>
      </c>
      <c r="BW181" s="11">
        <f t="shared" si="412"/>
        <v>0</v>
      </c>
      <c r="BX181" s="11">
        <f t="shared" si="412"/>
        <v>0</v>
      </c>
      <c r="BY181" s="11">
        <f t="shared" si="412"/>
        <v>0</v>
      </c>
      <c r="BZ181" s="11">
        <f t="shared" si="412"/>
        <v>0</v>
      </c>
      <c r="CA181" s="11">
        <f t="shared" si="412"/>
        <v>0</v>
      </c>
      <c r="CB181" s="11">
        <f t="shared" si="412"/>
        <v>0</v>
      </c>
      <c r="CC181" s="11">
        <f t="shared" si="412"/>
        <v>25696</v>
      </c>
      <c r="CD181" s="11">
        <f t="shared" si="412"/>
        <v>25696</v>
      </c>
      <c r="CE181" s="11">
        <f t="shared" si="412"/>
        <v>25696</v>
      </c>
      <c r="CF181" s="11">
        <f t="shared" si="412"/>
        <v>0</v>
      </c>
      <c r="CG181" s="11">
        <f t="shared" si="412"/>
        <v>25696</v>
      </c>
      <c r="CH181" s="11">
        <f t="shared" si="412"/>
        <v>0</v>
      </c>
      <c r="CI181" s="11">
        <f t="shared" si="412"/>
        <v>0</v>
      </c>
      <c r="CJ181" s="11">
        <f t="shared" si="412"/>
        <v>0</v>
      </c>
      <c r="CK181" s="11">
        <f t="shared" si="412"/>
        <v>0</v>
      </c>
      <c r="CL181" s="11">
        <f t="shared" si="412"/>
        <v>0</v>
      </c>
      <c r="CM181" s="11">
        <f t="shared" si="412"/>
        <v>0</v>
      </c>
      <c r="CN181" s="11">
        <f t="shared" si="412"/>
        <v>0</v>
      </c>
      <c r="CO181" s="11">
        <f t="shared" si="412"/>
        <v>0</v>
      </c>
      <c r="CP181" s="11"/>
      <c r="CQ181" s="11">
        <f t="shared" si="412"/>
        <v>0</v>
      </c>
      <c r="CR181" s="11">
        <f t="shared" si="412"/>
        <v>0</v>
      </c>
      <c r="CS181" s="11">
        <f t="shared" si="412"/>
        <v>0</v>
      </c>
      <c r="CT181" s="11">
        <f t="shared" si="412"/>
        <v>0</v>
      </c>
      <c r="CU181" s="11">
        <f t="shared" si="412"/>
        <v>0</v>
      </c>
      <c r="CV181" s="11">
        <f t="shared" si="412"/>
        <v>0</v>
      </c>
      <c r="CW181" s="11">
        <f t="shared" si="412"/>
        <v>0</v>
      </c>
      <c r="CX181" s="12">
        <f t="shared" si="412"/>
        <v>0</v>
      </c>
    </row>
    <row r="182" spans="1:102" ht="31.5" x14ac:dyDescent="0.25">
      <c r="A182" s="13" t="s">
        <v>1</v>
      </c>
      <c r="B182" s="14" t="s">
        <v>1</v>
      </c>
      <c r="C182" s="14" t="s">
        <v>86</v>
      </c>
      <c r="D182" s="15" t="s">
        <v>315</v>
      </c>
      <c r="E182" s="10">
        <f>SUM(F182+CC182+CU182)</f>
        <v>2323041</v>
      </c>
      <c r="F182" s="11">
        <f>SUM(G182+BC182)</f>
        <v>2297345</v>
      </c>
      <c r="G182" s="11">
        <f>SUM(H182+I182+J182+Q182+T182+U182+V182+AF182+AE182)</f>
        <v>2297345</v>
      </c>
      <c r="H182" s="16">
        <f>1608906+85808</f>
        <v>1694714</v>
      </c>
      <c r="I182" s="16">
        <f>366659+21452</f>
        <v>388111</v>
      </c>
      <c r="J182" s="11">
        <f>SUM(K182:P182)</f>
        <v>139553</v>
      </c>
      <c r="K182" s="11">
        <v>0</v>
      </c>
      <c r="L182" s="11"/>
      <c r="M182" s="11">
        <v>0</v>
      </c>
      <c r="N182" s="11">
        <v>0</v>
      </c>
      <c r="O182" s="16">
        <v>132490</v>
      </c>
      <c r="P182" s="16">
        <v>7063</v>
      </c>
      <c r="Q182" s="11">
        <f t="shared" si="334"/>
        <v>0</v>
      </c>
      <c r="R182" s="11">
        <v>0</v>
      </c>
      <c r="S182" s="11">
        <v>0</v>
      </c>
      <c r="T182" s="11">
        <v>0</v>
      </c>
      <c r="U182" s="16">
        <v>54966</v>
      </c>
      <c r="V182" s="11">
        <f t="shared" ref="V182" si="413">SUM(W182:AD182)</f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f>SUM(AG182:BB182)</f>
        <v>20001</v>
      </c>
      <c r="AG182" s="11">
        <v>0</v>
      </c>
      <c r="AH182" s="11">
        <v>0</v>
      </c>
      <c r="AI182" s="11">
        <v>0</v>
      </c>
      <c r="AJ182" s="11"/>
      <c r="AK182" s="11">
        <v>0</v>
      </c>
      <c r="AL182" s="16">
        <v>625</v>
      </c>
      <c r="AM182" s="16"/>
      <c r="AN182" s="16">
        <v>4393</v>
      </c>
      <c r="AO182" s="16">
        <v>11983</v>
      </c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1">
        <v>0</v>
      </c>
      <c r="BA182" s="11">
        <v>0</v>
      </c>
      <c r="BB182" s="16">
        <v>3000</v>
      </c>
      <c r="BC182" s="11">
        <f>SUM(BD182+BH182+BL182+BN182+BQ182)</f>
        <v>0</v>
      </c>
      <c r="BD182" s="11">
        <f>SUM(BE182:BG182)</f>
        <v>0</v>
      </c>
      <c r="BE182" s="11">
        <v>0</v>
      </c>
      <c r="BF182" s="11">
        <v>0</v>
      </c>
      <c r="BG182" s="11">
        <v>0</v>
      </c>
      <c r="BH182" s="11">
        <f t="shared" si="336"/>
        <v>0</v>
      </c>
      <c r="BI182" s="11">
        <v>0</v>
      </c>
      <c r="BJ182" s="11">
        <v>0</v>
      </c>
      <c r="BK182" s="11">
        <v>0</v>
      </c>
      <c r="BL182" s="11">
        <v>0</v>
      </c>
      <c r="BM182" s="11">
        <v>0</v>
      </c>
      <c r="BN182" s="11">
        <f t="shared" si="337"/>
        <v>0</v>
      </c>
      <c r="BO182" s="11">
        <v>0</v>
      </c>
      <c r="BP182" s="11">
        <v>0</v>
      </c>
      <c r="BQ182" s="11">
        <f t="shared" si="338"/>
        <v>0</v>
      </c>
      <c r="BR182" s="11">
        <v>0</v>
      </c>
      <c r="BS182" s="11">
        <v>0</v>
      </c>
      <c r="BT182" s="11">
        <v>0</v>
      </c>
      <c r="BU182" s="11">
        <v>0</v>
      </c>
      <c r="BV182" s="11">
        <v>0</v>
      </c>
      <c r="BW182" s="11">
        <v>0</v>
      </c>
      <c r="BX182" s="11">
        <v>0</v>
      </c>
      <c r="BY182" s="11">
        <v>0</v>
      </c>
      <c r="BZ182" s="11">
        <v>0</v>
      </c>
      <c r="CA182" s="11">
        <v>0</v>
      </c>
      <c r="CB182" s="11">
        <v>0</v>
      </c>
      <c r="CC182" s="11">
        <f>SUM(CD182+CT182)</f>
        <v>25696</v>
      </c>
      <c r="CD182" s="11">
        <f>SUM(CE182+CH182+CM182)</f>
        <v>25696</v>
      </c>
      <c r="CE182" s="11">
        <f t="shared" si="339"/>
        <v>25696</v>
      </c>
      <c r="CF182" s="11">
        <v>0</v>
      </c>
      <c r="CG182" s="16">
        <v>25696</v>
      </c>
      <c r="CH182" s="11">
        <f>SUM(CI182:CL182)</f>
        <v>0</v>
      </c>
      <c r="CI182" s="11">
        <v>0</v>
      </c>
      <c r="CJ182" s="11">
        <v>0</v>
      </c>
      <c r="CK182" s="11">
        <v>0</v>
      </c>
      <c r="CL182" s="11">
        <v>0</v>
      </c>
      <c r="CM182" s="11">
        <f>SUM(CN182:CQ182)</f>
        <v>0</v>
      </c>
      <c r="CN182" s="11">
        <v>0</v>
      </c>
      <c r="CO182" s="11">
        <v>0</v>
      </c>
      <c r="CP182" s="11"/>
      <c r="CQ182" s="11">
        <v>0</v>
      </c>
      <c r="CR182" s="11">
        <v>0</v>
      </c>
      <c r="CS182" s="11">
        <v>0</v>
      </c>
      <c r="CT182" s="11">
        <v>0</v>
      </c>
      <c r="CU182" s="11">
        <f t="shared" si="340"/>
        <v>0</v>
      </c>
      <c r="CV182" s="11">
        <f t="shared" si="341"/>
        <v>0</v>
      </c>
      <c r="CW182" s="11">
        <v>0</v>
      </c>
      <c r="CX182" s="12">
        <v>0</v>
      </c>
    </row>
    <row r="183" spans="1:102" ht="15.75" x14ac:dyDescent="0.25">
      <c r="A183" s="18" t="s">
        <v>316</v>
      </c>
      <c r="B183" s="19" t="s">
        <v>1</v>
      </c>
      <c r="C183" s="19" t="s">
        <v>1</v>
      </c>
      <c r="D183" s="20" t="s">
        <v>317</v>
      </c>
      <c r="E183" s="21">
        <f t="shared" ref="E183:BQ183" si="414">SUM(E184+E185+E186+E190+E192+E194+E196+E198+E207)</f>
        <v>606019904</v>
      </c>
      <c r="F183" s="22">
        <f t="shared" si="414"/>
        <v>605747188</v>
      </c>
      <c r="G183" s="22">
        <f t="shared" si="414"/>
        <v>192260887</v>
      </c>
      <c r="H183" s="22">
        <f t="shared" si="414"/>
        <v>16787615</v>
      </c>
      <c r="I183" s="22">
        <f t="shared" si="414"/>
        <v>3681907</v>
      </c>
      <c r="J183" s="22">
        <f t="shared" si="414"/>
        <v>8688269</v>
      </c>
      <c r="K183" s="22">
        <f t="shared" si="414"/>
        <v>976431</v>
      </c>
      <c r="L183" s="22">
        <f t="shared" si="414"/>
        <v>1490914</v>
      </c>
      <c r="M183" s="22">
        <f t="shared" si="414"/>
        <v>4513206</v>
      </c>
      <c r="N183" s="22">
        <f t="shared" si="414"/>
        <v>0</v>
      </c>
      <c r="O183" s="22">
        <f t="shared" si="414"/>
        <v>913402</v>
      </c>
      <c r="P183" s="22">
        <f t="shared" si="414"/>
        <v>794316</v>
      </c>
      <c r="Q183" s="22">
        <f t="shared" si="414"/>
        <v>0</v>
      </c>
      <c r="R183" s="22">
        <f t="shared" si="414"/>
        <v>0</v>
      </c>
      <c r="S183" s="22">
        <f t="shared" si="414"/>
        <v>0</v>
      </c>
      <c r="T183" s="22">
        <f t="shared" si="414"/>
        <v>0</v>
      </c>
      <c r="U183" s="22">
        <f t="shared" si="414"/>
        <v>164900</v>
      </c>
      <c r="V183" s="22">
        <f t="shared" si="414"/>
        <v>161616539</v>
      </c>
      <c r="W183" s="22">
        <f t="shared" si="414"/>
        <v>67118</v>
      </c>
      <c r="X183" s="22">
        <f t="shared" si="414"/>
        <v>828849</v>
      </c>
      <c r="Y183" s="22">
        <f t="shared" si="414"/>
        <v>391880</v>
      </c>
      <c r="Z183" s="22">
        <f t="shared" si="414"/>
        <v>834161</v>
      </c>
      <c r="AA183" s="22">
        <f t="shared" si="414"/>
        <v>68943</v>
      </c>
      <c r="AB183" s="22">
        <f t="shared" si="414"/>
        <v>0</v>
      </c>
      <c r="AC183" s="22">
        <f t="shared" si="414"/>
        <v>159395606</v>
      </c>
      <c r="AD183" s="22">
        <f t="shared" si="414"/>
        <v>29982</v>
      </c>
      <c r="AE183" s="22">
        <f t="shared" si="414"/>
        <v>0</v>
      </c>
      <c r="AF183" s="22">
        <f t="shared" si="414"/>
        <v>1321657</v>
      </c>
      <c r="AG183" s="22">
        <f t="shared" si="414"/>
        <v>0</v>
      </c>
      <c r="AH183" s="22">
        <f t="shared" si="414"/>
        <v>0</v>
      </c>
      <c r="AI183" s="22">
        <f t="shared" si="414"/>
        <v>0</v>
      </c>
      <c r="AJ183" s="22">
        <f t="shared" si="414"/>
        <v>94184</v>
      </c>
      <c r="AK183" s="22">
        <f t="shared" si="414"/>
        <v>0</v>
      </c>
      <c r="AL183" s="22">
        <f t="shared" si="414"/>
        <v>6364</v>
      </c>
      <c r="AM183" s="22">
        <f t="shared" si="414"/>
        <v>0</v>
      </c>
      <c r="AN183" s="22">
        <f t="shared" si="414"/>
        <v>152318</v>
      </c>
      <c r="AO183" s="22">
        <f t="shared" si="414"/>
        <v>0</v>
      </c>
      <c r="AP183" s="22">
        <f t="shared" si="414"/>
        <v>0</v>
      </c>
      <c r="AQ183" s="22">
        <f t="shared" si="414"/>
        <v>260</v>
      </c>
      <c r="AR183" s="22">
        <f t="shared" ref="AR183" si="415">SUM(AR184+AR185+AR186+AR190+AR192+AR194+AR196+AR198+AR207)</f>
        <v>0</v>
      </c>
      <c r="AS183" s="22">
        <f t="shared" si="414"/>
        <v>0</v>
      </c>
      <c r="AT183" s="22">
        <f t="shared" si="414"/>
        <v>118457</v>
      </c>
      <c r="AU183" s="22">
        <f t="shared" si="414"/>
        <v>145000</v>
      </c>
      <c r="AV183" s="22"/>
      <c r="AW183" s="22"/>
      <c r="AX183" s="22">
        <f t="shared" si="414"/>
        <v>47595</v>
      </c>
      <c r="AY183" s="22">
        <f t="shared" si="414"/>
        <v>23367</v>
      </c>
      <c r="AZ183" s="22">
        <f t="shared" si="414"/>
        <v>0</v>
      </c>
      <c r="BA183" s="22">
        <f t="shared" si="414"/>
        <v>0</v>
      </c>
      <c r="BB183" s="22">
        <f t="shared" si="414"/>
        <v>734112</v>
      </c>
      <c r="BC183" s="22">
        <f t="shared" si="414"/>
        <v>413486301</v>
      </c>
      <c r="BD183" s="22">
        <f t="shared" si="414"/>
        <v>0</v>
      </c>
      <c r="BE183" s="22">
        <f t="shared" si="414"/>
        <v>0</v>
      </c>
      <c r="BF183" s="22">
        <f t="shared" si="414"/>
        <v>0</v>
      </c>
      <c r="BG183" s="22">
        <f t="shared" si="414"/>
        <v>0</v>
      </c>
      <c r="BH183" s="22">
        <f t="shared" si="414"/>
        <v>0</v>
      </c>
      <c r="BI183" s="22">
        <f t="shared" si="414"/>
        <v>0</v>
      </c>
      <c r="BJ183" s="22">
        <f t="shared" si="414"/>
        <v>0</v>
      </c>
      <c r="BK183" s="22">
        <f t="shared" si="414"/>
        <v>0</v>
      </c>
      <c r="BL183" s="22">
        <f t="shared" si="414"/>
        <v>0</v>
      </c>
      <c r="BM183" s="22">
        <f t="shared" si="414"/>
        <v>0</v>
      </c>
      <c r="BN183" s="22">
        <f t="shared" si="414"/>
        <v>0</v>
      </c>
      <c r="BO183" s="22">
        <f t="shared" si="414"/>
        <v>0</v>
      </c>
      <c r="BP183" s="22">
        <f t="shared" ref="BP183" si="416">SUM(BP184+BP185+BP186+BP190+BP192+BP194+BP196+BP198+BP207)</f>
        <v>0</v>
      </c>
      <c r="BQ183" s="22">
        <f t="shared" si="414"/>
        <v>413486301</v>
      </c>
      <c r="BR183" s="22">
        <f t="shared" ref="BR183:CX183" si="417">SUM(BR184+BR185+BR186+BR190+BR192+BR194+BR196+BR198+BR207)</f>
        <v>56335592</v>
      </c>
      <c r="BS183" s="22">
        <f t="shared" si="417"/>
        <v>4586664</v>
      </c>
      <c r="BT183" s="22">
        <f t="shared" si="417"/>
        <v>0</v>
      </c>
      <c r="BU183" s="22">
        <f t="shared" si="417"/>
        <v>23279783</v>
      </c>
      <c r="BV183" s="22">
        <f t="shared" si="417"/>
        <v>100000</v>
      </c>
      <c r="BW183" s="22">
        <f t="shared" si="417"/>
        <v>0</v>
      </c>
      <c r="BX183" s="22">
        <f t="shared" si="417"/>
        <v>168697171</v>
      </c>
      <c r="BY183" s="22">
        <f t="shared" si="417"/>
        <v>0</v>
      </c>
      <c r="BZ183" s="22">
        <f t="shared" si="417"/>
        <v>339880</v>
      </c>
      <c r="CA183" s="22">
        <f t="shared" si="417"/>
        <v>142517331</v>
      </c>
      <c r="CB183" s="22">
        <f t="shared" si="417"/>
        <v>17629880</v>
      </c>
      <c r="CC183" s="22">
        <f t="shared" si="417"/>
        <v>272716</v>
      </c>
      <c r="CD183" s="22">
        <f t="shared" si="417"/>
        <v>272716</v>
      </c>
      <c r="CE183" s="22">
        <f t="shared" si="417"/>
        <v>272716</v>
      </c>
      <c r="CF183" s="22">
        <f t="shared" si="417"/>
        <v>0</v>
      </c>
      <c r="CG183" s="22">
        <f t="shared" si="417"/>
        <v>272716</v>
      </c>
      <c r="CH183" s="22">
        <f t="shared" si="417"/>
        <v>0</v>
      </c>
      <c r="CI183" s="22">
        <f t="shared" si="417"/>
        <v>0</v>
      </c>
      <c r="CJ183" s="22">
        <f t="shared" si="417"/>
        <v>0</v>
      </c>
      <c r="CK183" s="22">
        <f t="shared" si="417"/>
        <v>0</v>
      </c>
      <c r="CL183" s="22">
        <f t="shared" si="417"/>
        <v>0</v>
      </c>
      <c r="CM183" s="22">
        <f t="shared" si="417"/>
        <v>0</v>
      </c>
      <c r="CN183" s="22">
        <f t="shared" si="417"/>
        <v>0</v>
      </c>
      <c r="CO183" s="22">
        <f t="shared" si="417"/>
        <v>0</v>
      </c>
      <c r="CP183" s="22"/>
      <c r="CQ183" s="22">
        <f t="shared" si="417"/>
        <v>0</v>
      </c>
      <c r="CR183" s="22">
        <f t="shared" si="417"/>
        <v>0</v>
      </c>
      <c r="CS183" s="22">
        <f t="shared" si="417"/>
        <v>0</v>
      </c>
      <c r="CT183" s="22">
        <f t="shared" si="417"/>
        <v>0</v>
      </c>
      <c r="CU183" s="22">
        <f t="shared" si="417"/>
        <v>0</v>
      </c>
      <c r="CV183" s="22">
        <f t="shared" si="417"/>
        <v>0</v>
      </c>
      <c r="CW183" s="22">
        <f t="shared" si="417"/>
        <v>0</v>
      </c>
      <c r="CX183" s="23">
        <f t="shared" si="417"/>
        <v>0</v>
      </c>
    </row>
    <row r="184" spans="1:102" ht="15.75" x14ac:dyDescent="0.25">
      <c r="A184" s="7"/>
      <c r="B184" s="8" t="s">
        <v>318</v>
      </c>
      <c r="C184" s="8" t="s">
        <v>1</v>
      </c>
      <c r="D184" s="9" t="s">
        <v>319</v>
      </c>
      <c r="E184" s="10">
        <f>SUM(F184+CC184+CU184)</f>
        <v>85878325</v>
      </c>
      <c r="F184" s="11">
        <f>SUM(G184+BC184)</f>
        <v>85878325</v>
      </c>
      <c r="G184" s="11">
        <f>SUM(H184+I184+J184+Q184+T184+U184+V184+AF184+AE184)</f>
        <v>0</v>
      </c>
      <c r="H184" s="11">
        <v>0</v>
      </c>
      <c r="I184" s="11">
        <v>0</v>
      </c>
      <c r="J184" s="11">
        <f>SUM(K184:P184)</f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f t="shared" si="334"/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f t="shared" ref="V184:V185" si="418">SUM(W184:AD184)</f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f>SUM(AG184:BB184)</f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11">
        <v>0</v>
      </c>
      <c r="AV184" s="11"/>
      <c r="AW184" s="11"/>
      <c r="AX184" s="11">
        <v>0</v>
      </c>
      <c r="AY184" s="11">
        <v>0</v>
      </c>
      <c r="AZ184" s="11">
        <v>0</v>
      </c>
      <c r="BA184" s="11">
        <v>0</v>
      </c>
      <c r="BB184" s="11">
        <v>0</v>
      </c>
      <c r="BC184" s="11">
        <f>SUM(BD184+BH184+BL184+BN184+BQ184)</f>
        <v>85878325</v>
      </c>
      <c r="BD184" s="11">
        <f>SUM(BE184:BG184)</f>
        <v>0</v>
      </c>
      <c r="BE184" s="11">
        <v>0</v>
      </c>
      <c r="BF184" s="11">
        <v>0</v>
      </c>
      <c r="BG184" s="11">
        <v>0</v>
      </c>
      <c r="BH184" s="11">
        <f t="shared" si="336"/>
        <v>0</v>
      </c>
      <c r="BI184" s="11">
        <v>0</v>
      </c>
      <c r="BJ184" s="11">
        <v>0</v>
      </c>
      <c r="BK184" s="11">
        <v>0</v>
      </c>
      <c r="BL184" s="11">
        <v>0</v>
      </c>
      <c r="BM184" s="11">
        <v>0</v>
      </c>
      <c r="BN184" s="11">
        <f t="shared" si="337"/>
        <v>0</v>
      </c>
      <c r="BO184" s="11">
        <v>0</v>
      </c>
      <c r="BP184" s="11">
        <v>0</v>
      </c>
      <c r="BQ184" s="11">
        <f t="shared" si="338"/>
        <v>85878325</v>
      </c>
      <c r="BR184" s="16">
        <f>51540872-6124306+121313-477071-40000</f>
        <v>45020808</v>
      </c>
      <c r="BS184" s="11">
        <v>0</v>
      </c>
      <c r="BT184" s="11">
        <v>0</v>
      </c>
      <c r="BU184" s="11">
        <v>0</v>
      </c>
      <c r="BV184" s="11">
        <v>0</v>
      </c>
      <c r="BW184" s="11">
        <v>0</v>
      </c>
      <c r="BX184" s="11">
        <v>0</v>
      </c>
      <c r="BY184" s="11">
        <v>0</v>
      </c>
      <c r="BZ184" s="11">
        <v>0</v>
      </c>
      <c r="CA184" s="16">
        <f>35752671-4668036+952715</f>
        <v>32037350</v>
      </c>
      <c r="CB184" s="16">
        <f>650167+3719550+4450450</f>
        <v>8820167</v>
      </c>
      <c r="CC184" s="11">
        <f>SUM(CD184+CT184)</f>
        <v>0</v>
      </c>
      <c r="CD184" s="11">
        <f>SUM(CE184+CH184+CM184)</f>
        <v>0</v>
      </c>
      <c r="CE184" s="11">
        <f t="shared" si="339"/>
        <v>0</v>
      </c>
      <c r="CF184" s="11">
        <v>0</v>
      </c>
      <c r="CG184" s="11">
        <v>0</v>
      </c>
      <c r="CH184" s="11">
        <f>SUM(CI184:CL184)</f>
        <v>0</v>
      </c>
      <c r="CI184" s="11">
        <v>0</v>
      </c>
      <c r="CJ184" s="11">
        <v>0</v>
      </c>
      <c r="CK184" s="11">
        <v>0</v>
      </c>
      <c r="CL184" s="11">
        <v>0</v>
      </c>
      <c r="CM184" s="11">
        <f>SUM(CN184:CQ184)</f>
        <v>0</v>
      </c>
      <c r="CN184" s="11">
        <v>0</v>
      </c>
      <c r="CO184" s="11">
        <v>0</v>
      </c>
      <c r="CP184" s="11"/>
      <c r="CQ184" s="11">
        <v>0</v>
      </c>
      <c r="CR184" s="11">
        <v>0</v>
      </c>
      <c r="CS184" s="11">
        <v>0</v>
      </c>
      <c r="CT184" s="11">
        <v>0</v>
      </c>
      <c r="CU184" s="11">
        <f t="shared" si="340"/>
        <v>0</v>
      </c>
      <c r="CV184" s="11">
        <f t="shared" si="341"/>
        <v>0</v>
      </c>
      <c r="CW184" s="11">
        <v>0</v>
      </c>
      <c r="CX184" s="12">
        <v>0</v>
      </c>
    </row>
    <row r="185" spans="1:102" ht="31.5" x14ac:dyDescent="0.25">
      <c r="A185" s="7"/>
      <c r="B185" s="8" t="s">
        <v>320</v>
      </c>
      <c r="C185" s="8" t="s">
        <v>1</v>
      </c>
      <c r="D185" s="9" t="s">
        <v>321</v>
      </c>
      <c r="E185" s="10">
        <f>SUM(F185+CC185+CU185)</f>
        <v>14411515</v>
      </c>
      <c r="F185" s="11">
        <f>SUM(G185+BC185)</f>
        <v>14411515</v>
      </c>
      <c r="G185" s="11">
        <f>SUM(H185+I185+J185+Q185+T185+U185+V185+AF185+AE185)</f>
        <v>0</v>
      </c>
      <c r="H185" s="11">
        <v>0</v>
      </c>
      <c r="I185" s="11">
        <v>0</v>
      </c>
      <c r="J185" s="11">
        <f>SUM(K185:P185)</f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f t="shared" si="334"/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f t="shared" si="418"/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f>SUM(AG185:BB185)</f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  <c r="AU185" s="11">
        <v>0</v>
      </c>
      <c r="AV185" s="11"/>
      <c r="AW185" s="11"/>
      <c r="AX185" s="11">
        <v>0</v>
      </c>
      <c r="AY185" s="11">
        <v>0</v>
      </c>
      <c r="AZ185" s="11">
        <v>0</v>
      </c>
      <c r="BA185" s="11">
        <v>0</v>
      </c>
      <c r="BB185" s="11">
        <v>0</v>
      </c>
      <c r="BC185" s="11">
        <f>SUM(BD185+BH185+BL185+BN185+BQ185)</f>
        <v>14411515</v>
      </c>
      <c r="BD185" s="11">
        <f>SUM(BE185:BG185)</f>
        <v>0</v>
      </c>
      <c r="BE185" s="11">
        <v>0</v>
      </c>
      <c r="BF185" s="11">
        <v>0</v>
      </c>
      <c r="BG185" s="11">
        <v>0</v>
      </c>
      <c r="BH185" s="11">
        <f t="shared" si="336"/>
        <v>0</v>
      </c>
      <c r="BI185" s="11">
        <v>0</v>
      </c>
      <c r="BJ185" s="11">
        <v>0</v>
      </c>
      <c r="BK185" s="11">
        <v>0</v>
      </c>
      <c r="BL185" s="11">
        <v>0</v>
      </c>
      <c r="BM185" s="11">
        <v>0</v>
      </c>
      <c r="BN185" s="11">
        <f t="shared" si="337"/>
        <v>0</v>
      </c>
      <c r="BO185" s="11">
        <v>0</v>
      </c>
      <c r="BP185" s="11">
        <v>0</v>
      </c>
      <c r="BQ185" s="11">
        <f t="shared" si="338"/>
        <v>14411515</v>
      </c>
      <c r="BR185" s="16">
        <f>12668674-924837+503-429556</f>
        <v>11314784</v>
      </c>
      <c r="BS185" s="11">
        <v>0</v>
      </c>
      <c r="BT185" s="11">
        <v>0</v>
      </c>
      <c r="BU185" s="11">
        <v>0</v>
      </c>
      <c r="BV185" s="11">
        <v>0</v>
      </c>
      <c r="BW185" s="11">
        <v>0</v>
      </c>
      <c r="BX185" s="11">
        <v>0</v>
      </c>
      <c r="BY185" s="11">
        <v>0</v>
      </c>
      <c r="BZ185" s="11">
        <v>0</v>
      </c>
      <c r="CA185" s="16">
        <f>3330900-667716-50000</f>
        <v>2613184</v>
      </c>
      <c r="CB185" s="16">
        <f>298447+91350+93750</f>
        <v>483547</v>
      </c>
      <c r="CC185" s="11">
        <f>SUM(CD185+CT185)</f>
        <v>0</v>
      </c>
      <c r="CD185" s="11">
        <f>SUM(CE185+CH185+CM185)</f>
        <v>0</v>
      </c>
      <c r="CE185" s="11">
        <f t="shared" si="339"/>
        <v>0</v>
      </c>
      <c r="CF185" s="11">
        <v>0</v>
      </c>
      <c r="CG185" s="11">
        <v>0</v>
      </c>
      <c r="CH185" s="11">
        <f>SUM(CI185:CL185)</f>
        <v>0</v>
      </c>
      <c r="CI185" s="11">
        <v>0</v>
      </c>
      <c r="CJ185" s="11">
        <v>0</v>
      </c>
      <c r="CK185" s="11">
        <v>0</v>
      </c>
      <c r="CL185" s="11">
        <v>0</v>
      </c>
      <c r="CM185" s="11">
        <f>SUM(CN185:CQ185)</f>
        <v>0</v>
      </c>
      <c r="CN185" s="11">
        <v>0</v>
      </c>
      <c r="CO185" s="11">
        <v>0</v>
      </c>
      <c r="CP185" s="11"/>
      <c r="CQ185" s="11">
        <v>0</v>
      </c>
      <c r="CR185" s="11">
        <v>0</v>
      </c>
      <c r="CS185" s="11">
        <v>0</v>
      </c>
      <c r="CT185" s="11">
        <v>0</v>
      </c>
      <c r="CU185" s="11">
        <f t="shared" si="340"/>
        <v>0</v>
      </c>
      <c r="CV185" s="11">
        <f t="shared" si="341"/>
        <v>0</v>
      </c>
      <c r="CW185" s="11">
        <v>0</v>
      </c>
      <c r="CX185" s="12">
        <v>0</v>
      </c>
    </row>
    <row r="186" spans="1:102" ht="15.75" x14ac:dyDescent="0.25">
      <c r="A186" s="7"/>
      <c r="B186" s="8" t="s">
        <v>322</v>
      </c>
      <c r="C186" s="8" t="s">
        <v>1</v>
      </c>
      <c r="D186" s="9" t="s">
        <v>323</v>
      </c>
      <c r="E186" s="10">
        <f>SUM(E187:E189)</f>
        <v>29379117</v>
      </c>
      <c r="F186" s="11">
        <f t="shared" ref="F186:BW186" si="419">SUM(F187:F189)</f>
        <v>29121325</v>
      </c>
      <c r="G186" s="11">
        <f t="shared" si="419"/>
        <v>29121325</v>
      </c>
      <c r="H186" s="11">
        <f t="shared" si="419"/>
        <v>15131379</v>
      </c>
      <c r="I186" s="11">
        <f t="shared" si="419"/>
        <v>3443035</v>
      </c>
      <c r="J186" s="11">
        <f t="shared" si="419"/>
        <v>7658661</v>
      </c>
      <c r="K186" s="11">
        <f t="shared" si="419"/>
        <v>976431</v>
      </c>
      <c r="L186" s="11">
        <f t="shared" si="419"/>
        <v>1490914</v>
      </c>
      <c r="M186" s="11">
        <f t="shared" si="419"/>
        <v>4513206</v>
      </c>
      <c r="N186" s="11">
        <f t="shared" si="419"/>
        <v>0</v>
      </c>
      <c r="O186" s="11">
        <f t="shared" si="419"/>
        <v>597256</v>
      </c>
      <c r="P186" s="11">
        <f t="shared" si="419"/>
        <v>80854</v>
      </c>
      <c r="Q186" s="11">
        <f t="shared" si="419"/>
        <v>0</v>
      </c>
      <c r="R186" s="11">
        <f t="shared" si="419"/>
        <v>0</v>
      </c>
      <c r="S186" s="11">
        <f t="shared" si="419"/>
        <v>0</v>
      </c>
      <c r="T186" s="11">
        <f t="shared" si="419"/>
        <v>0</v>
      </c>
      <c r="U186" s="11">
        <f t="shared" si="419"/>
        <v>102427</v>
      </c>
      <c r="V186" s="11">
        <f t="shared" si="419"/>
        <v>2220933</v>
      </c>
      <c r="W186" s="11">
        <f t="shared" si="419"/>
        <v>67118</v>
      </c>
      <c r="X186" s="11">
        <f t="shared" si="419"/>
        <v>828849</v>
      </c>
      <c r="Y186" s="11">
        <f t="shared" si="419"/>
        <v>391880</v>
      </c>
      <c r="Z186" s="11">
        <f t="shared" si="419"/>
        <v>834161</v>
      </c>
      <c r="AA186" s="11">
        <f t="shared" si="419"/>
        <v>68943</v>
      </c>
      <c r="AB186" s="11">
        <f t="shared" si="419"/>
        <v>0</v>
      </c>
      <c r="AC186" s="11">
        <f t="shared" si="419"/>
        <v>0</v>
      </c>
      <c r="AD186" s="11">
        <f t="shared" si="419"/>
        <v>29982</v>
      </c>
      <c r="AE186" s="11">
        <f t="shared" si="419"/>
        <v>0</v>
      </c>
      <c r="AF186" s="11">
        <f t="shared" si="419"/>
        <v>564890</v>
      </c>
      <c r="AG186" s="11">
        <f t="shared" si="419"/>
        <v>0</v>
      </c>
      <c r="AH186" s="11">
        <f t="shared" si="419"/>
        <v>0</v>
      </c>
      <c r="AI186" s="11">
        <f t="shared" si="419"/>
        <v>0</v>
      </c>
      <c r="AJ186" s="11">
        <f t="shared" si="419"/>
        <v>94184</v>
      </c>
      <c r="AK186" s="11">
        <f t="shared" si="419"/>
        <v>0</v>
      </c>
      <c r="AL186" s="11">
        <f t="shared" si="419"/>
        <v>6364</v>
      </c>
      <c r="AM186" s="11">
        <f t="shared" si="419"/>
        <v>0</v>
      </c>
      <c r="AN186" s="11">
        <f t="shared" si="419"/>
        <v>152318</v>
      </c>
      <c r="AO186" s="11">
        <f t="shared" si="419"/>
        <v>0</v>
      </c>
      <c r="AP186" s="11">
        <f t="shared" si="419"/>
        <v>0</v>
      </c>
      <c r="AQ186" s="11">
        <f t="shared" si="419"/>
        <v>260</v>
      </c>
      <c r="AR186" s="11">
        <f t="shared" ref="AR186" si="420">SUM(AR187:AR189)</f>
        <v>0</v>
      </c>
      <c r="AS186" s="11">
        <f t="shared" si="419"/>
        <v>0</v>
      </c>
      <c r="AT186" s="11">
        <f t="shared" si="419"/>
        <v>118457</v>
      </c>
      <c r="AU186" s="11">
        <f t="shared" si="419"/>
        <v>145000</v>
      </c>
      <c r="AV186" s="11"/>
      <c r="AW186" s="11"/>
      <c r="AX186" s="11">
        <f t="shared" si="419"/>
        <v>47595</v>
      </c>
      <c r="AY186" s="11">
        <f t="shared" si="419"/>
        <v>0</v>
      </c>
      <c r="AZ186" s="11">
        <f t="shared" si="419"/>
        <v>0</v>
      </c>
      <c r="BA186" s="11">
        <f t="shared" si="419"/>
        <v>0</v>
      </c>
      <c r="BB186" s="11">
        <f t="shared" si="419"/>
        <v>712</v>
      </c>
      <c r="BC186" s="11">
        <f t="shared" si="419"/>
        <v>0</v>
      </c>
      <c r="BD186" s="11">
        <f t="shared" si="419"/>
        <v>0</v>
      </c>
      <c r="BE186" s="11">
        <f t="shared" si="419"/>
        <v>0</v>
      </c>
      <c r="BF186" s="11">
        <f t="shared" si="419"/>
        <v>0</v>
      </c>
      <c r="BG186" s="11">
        <f t="shared" si="419"/>
        <v>0</v>
      </c>
      <c r="BH186" s="11">
        <f t="shared" si="419"/>
        <v>0</v>
      </c>
      <c r="BI186" s="11">
        <f t="shared" si="419"/>
        <v>0</v>
      </c>
      <c r="BJ186" s="11">
        <f t="shared" si="419"/>
        <v>0</v>
      </c>
      <c r="BK186" s="11">
        <f t="shared" si="419"/>
        <v>0</v>
      </c>
      <c r="BL186" s="11">
        <f t="shared" si="419"/>
        <v>0</v>
      </c>
      <c r="BM186" s="11">
        <f t="shared" si="419"/>
        <v>0</v>
      </c>
      <c r="BN186" s="11">
        <f t="shared" si="419"/>
        <v>0</v>
      </c>
      <c r="BO186" s="11">
        <f t="shared" si="419"/>
        <v>0</v>
      </c>
      <c r="BP186" s="11">
        <f t="shared" ref="BP186" si="421">SUM(BP187:BP189)</f>
        <v>0</v>
      </c>
      <c r="BQ186" s="11">
        <f t="shared" si="419"/>
        <v>0</v>
      </c>
      <c r="BR186" s="11">
        <f t="shared" si="419"/>
        <v>0</v>
      </c>
      <c r="BS186" s="11">
        <f t="shared" si="419"/>
        <v>0</v>
      </c>
      <c r="BT186" s="11">
        <f t="shared" si="419"/>
        <v>0</v>
      </c>
      <c r="BU186" s="11">
        <f t="shared" si="419"/>
        <v>0</v>
      </c>
      <c r="BV186" s="11">
        <f t="shared" si="419"/>
        <v>0</v>
      </c>
      <c r="BW186" s="11">
        <f t="shared" si="419"/>
        <v>0</v>
      </c>
      <c r="BX186" s="11">
        <f t="shared" ref="BX186:CX186" si="422">SUM(BX187:BX189)</f>
        <v>0</v>
      </c>
      <c r="BY186" s="11">
        <f t="shared" si="422"/>
        <v>0</v>
      </c>
      <c r="BZ186" s="11">
        <f t="shared" si="422"/>
        <v>0</v>
      </c>
      <c r="CA186" s="11">
        <f t="shared" si="422"/>
        <v>0</v>
      </c>
      <c r="CB186" s="11">
        <f t="shared" si="422"/>
        <v>0</v>
      </c>
      <c r="CC186" s="11">
        <f t="shared" si="422"/>
        <v>257792</v>
      </c>
      <c r="CD186" s="11">
        <f t="shared" si="422"/>
        <v>257792</v>
      </c>
      <c r="CE186" s="11">
        <f t="shared" si="422"/>
        <v>257792</v>
      </c>
      <c r="CF186" s="11">
        <f t="shared" si="422"/>
        <v>0</v>
      </c>
      <c r="CG186" s="11">
        <f t="shared" si="422"/>
        <v>257792</v>
      </c>
      <c r="CH186" s="11">
        <f t="shared" si="422"/>
        <v>0</v>
      </c>
      <c r="CI186" s="11">
        <f t="shared" si="422"/>
        <v>0</v>
      </c>
      <c r="CJ186" s="11">
        <f t="shared" si="422"/>
        <v>0</v>
      </c>
      <c r="CK186" s="11">
        <f t="shared" si="422"/>
        <v>0</v>
      </c>
      <c r="CL186" s="11">
        <f t="shared" si="422"/>
        <v>0</v>
      </c>
      <c r="CM186" s="11">
        <f t="shared" si="422"/>
        <v>0</v>
      </c>
      <c r="CN186" s="11">
        <f t="shared" si="422"/>
        <v>0</v>
      </c>
      <c r="CO186" s="11">
        <f t="shared" si="422"/>
        <v>0</v>
      </c>
      <c r="CP186" s="11"/>
      <c r="CQ186" s="11">
        <f t="shared" si="422"/>
        <v>0</v>
      </c>
      <c r="CR186" s="11">
        <f t="shared" si="422"/>
        <v>0</v>
      </c>
      <c r="CS186" s="11">
        <f t="shared" si="422"/>
        <v>0</v>
      </c>
      <c r="CT186" s="11">
        <f t="shared" si="422"/>
        <v>0</v>
      </c>
      <c r="CU186" s="11">
        <f t="shared" si="422"/>
        <v>0</v>
      </c>
      <c r="CV186" s="11">
        <f t="shared" si="422"/>
        <v>0</v>
      </c>
      <c r="CW186" s="11">
        <f t="shared" si="422"/>
        <v>0</v>
      </c>
      <c r="CX186" s="12">
        <f t="shared" si="422"/>
        <v>0</v>
      </c>
    </row>
    <row r="187" spans="1:102" ht="31.5" x14ac:dyDescent="0.25">
      <c r="A187" s="13"/>
      <c r="B187" s="14" t="s">
        <v>1</v>
      </c>
      <c r="C187" s="14" t="s">
        <v>84</v>
      </c>
      <c r="D187" s="15" t="s">
        <v>324</v>
      </c>
      <c r="E187" s="10">
        <f>SUM(F187+CC187+CU187)</f>
        <v>4955202</v>
      </c>
      <c r="F187" s="11">
        <f>SUM(G187+BC187)</f>
        <v>4903937</v>
      </c>
      <c r="G187" s="11">
        <f>SUM(H187+I187+J187+Q187+T187+U187+V187+AF187+AE187)</f>
        <v>4903937</v>
      </c>
      <c r="H187" s="16">
        <f>2776462+148078</f>
        <v>2924540</v>
      </c>
      <c r="I187" s="16">
        <f>646150+37019</f>
        <v>683169</v>
      </c>
      <c r="J187" s="11">
        <f>SUM(K187:P187)</f>
        <v>1023351</v>
      </c>
      <c r="K187" s="16">
        <f>128645+98804</f>
        <v>227449</v>
      </c>
      <c r="L187" s="16">
        <v>87580</v>
      </c>
      <c r="M187" s="16">
        <v>537936</v>
      </c>
      <c r="N187" s="16"/>
      <c r="O187" s="16">
        <v>130196</v>
      </c>
      <c r="P187" s="16">
        <f>12161+28029</f>
        <v>40190</v>
      </c>
      <c r="Q187" s="11">
        <f t="shared" si="334"/>
        <v>0</v>
      </c>
      <c r="R187" s="11">
        <v>0</v>
      </c>
      <c r="S187" s="11">
        <v>0</v>
      </c>
      <c r="T187" s="11">
        <v>0</v>
      </c>
      <c r="U187" s="16">
        <v>18068</v>
      </c>
      <c r="V187" s="11">
        <f t="shared" ref="V187:V189" si="423">SUM(W187:AD187)</f>
        <v>138337</v>
      </c>
      <c r="W187" s="16">
        <v>5364</v>
      </c>
      <c r="X187" s="16">
        <v>30791</v>
      </c>
      <c r="Y187" s="16">
        <v>43936</v>
      </c>
      <c r="Z187" s="16">
        <v>40356</v>
      </c>
      <c r="AA187" s="16">
        <v>6018</v>
      </c>
      <c r="AB187" s="16"/>
      <c r="AC187" s="16"/>
      <c r="AD187" s="16">
        <f>10213+1659</f>
        <v>11872</v>
      </c>
      <c r="AE187" s="11"/>
      <c r="AF187" s="11">
        <f>SUM(AG187:BB187)</f>
        <v>116472</v>
      </c>
      <c r="AG187" s="11">
        <v>0</v>
      </c>
      <c r="AH187" s="11">
        <v>0</v>
      </c>
      <c r="AI187" s="11">
        <v>0</v>
      </c>
      <c r="AJ187" s="16">
        <v>7391</v>
      </c>
      <c r="AK187" s="16"/>
      <c r="AL187" s="16">
        <v>1591</v>
      </c>
      <c r="AM187" s="16"/>
      <c r="AN187" s="16">
        <v>30290</v>
      </c>
      <c r="AO187" s="16"/>
      <c r="AP187" s="16"/>
      <c r="AQ187" s="16"/>
      <c r="AR187" s="16"/>
      <c r="AS187" s="16"/>
      <c r="AT187" s="16">
        <v>19200</v>
      </c>
      <c r="AU187" s="16">
        <v>58000</v>
      </c>
      <c r="AV187" s="11"/>
      <c r="AW187" s="11"/>
      <c r="AX187" s="11">
        <v>0</v>
      </c>
      <c r="AY187" s="11">
        <v>0</v>
      </c>
      <c r="AZ187" s="11">
        <v>0</v>
      </c>
      <c r="BA187" s="11">
        <v>0</v>
      </c>
      <c r="BB187" s="11">
        <v>0</v>
      </c>
      <c r="BC187" s="11">
        <f>SUM(BD187+BH187+BL187+BN187+BQ187)</f>
        <v>0</v>
      </c>
      <c r="BD187" s="11">
        <f>SUM(BE187:BG187)</f>
        <v>0</v>
      </c>
      <c r="BE187" s="11">
        <v>0</v>
      </c>
      <c r="BF187" s="11">
        <v>0</v>
      </c>
      <c r="BG187" s="11">
        <v>0</v>
      </c>
      <c r="BH187" s="11">
        <f t="shared" si="336"/>
        <v>0</v>
      </c>
      <c r="BI187" s="11">
        <v>0</v>
      </c>
      <c r="BJ187" s="11">
        <v>0</v>
      </c>
      <c r="BK187" s="11">
        <v>0</v>
      </c>
      <c r="BL187" s="11">
        <v>0</v>
      </c>
      <c r="BM187" s="11">
        <v>0</v>
      </c>
      <c r="BN187" s="11">
        <f t="shared" si="337"/>
        <v>0</v>
      </c>
      <c r="BO187" s="11">
        <v>0</v>
      </c>
      <c r="BP187" s="11">
        <v>0</v>
      </c>
      <c r="BQ187" s="11">
        <f t="shared" si="338"/>
        <v>0</v>
      </c>
      <c r="BR187" s="11">
        <v>0</v>
      </c>
      <c r="BS187" s="11">
        <v>0</v>
      </c>
      <c r="BT187" s="11">
        <v>0</v>
      </c>
      <c r="BU187" s="11">
        <v>0</v>
      </c>
      <c r="BV187" s="11">
        <v>0</v>
      </c>
      <c r="BW187" s="11">
        <v>0</v>
      </c>
      <c r="BX187" s="11">
        <v>0</v>
      </c>
      <c r="BY187" s="11">
        <v>0</v>
      </c>
      <c r="BZ187" s="11">
        <v>0</v>
      </c>
      <c r="CA187" s="11">
        <v>0</v>
      </c>
      <c r="CB187" s="11">
        <v>0</v>
      </c>
      <c r="CC187" s="11">
        <f>SUM(CD187+CT187)</f>
        <v>51265</v>
      </c>
      <c r="CD187" s="11">
        <f>SUM(CE187+CH187+CM187)</f>
        <v>51265</v>
      </c>
      <c r="CE187" s="11">
        <f t="shared" si="339"/>
        <v>51265</v>
      </c>
      <c r="CF187" s="11">
        <v>0</v>
      </c>
      <c r="CG187" s="16">
        <v>51265</v>
      </c>
      <c r="CH187" s="11">
        <f>SUM(CI187:CL187)</f>
        <v>0</v>
      </c>
      <c r="CI187" s="11">
        <v>0</v>
      </c>
      <c r="CJ187" s="11">
        <v>0</v>
      </c>
      <c r="CK187" s="11">
        <v>0</v>
      </c>
      <c r="CL187" s="11">
        <v>0</v>
      </c>
      <c r="CM187" s="11">
        <f>SUM(CN187:CQ187)</f>
        <v>0</v>
      </c>
      <c r="CN187" s="11">
        <v>0</v>
      </c>
      <c r="CO187" s="11">
        <v>0</v>
      </c>
      <c r="CP187" s="11"/>
      <c r="CQ187" s="11">
        <v>0</v>
      </c>
      <c r="CR187" s="11">
        <v>0</v>
      </c>
      <c r="CS187" s="11">
        <v>0</v>
      </c>
      <c r="CT187" s="11">
        <v>0</v>
      </c>
      <c r="CU187" s="11">
        <f t="shared" si="340"/>
        <v>0</v>
      </c>
      <c r="CV187" s="11">
        <f t="shared" si="341"/>
        <v>0</v>
      </c>
      <c r="CW187" s="11">
        <v>0</v>
      </c>
      <c r="CX187" s="12">
        <v>0</v>
      </c>
    </row>
    <row r="188" spans="1:102" ht="31.5" x14ac:dyDescent="0.25">
      <c r="A188" s="13"/>
      <c r="B188" s="14" t="s">
        <v>1</v>
      </c>
      <c r="C188" s="14" t="s">
        <v>84</v>
      </c>
      <c r="D188" s="15" t="s">
        <v>325</v>
      </c>
      <c r="E188" s="10">
        <f>SUM(F188+CC188+CU188)</f>
        <v>23708472</v>
      </c>
      <c r="F188" s="11">
        <f>SUM(G188+BC188)</f>
        <v>23501945</v>
      </c>
      <c r="G188" s="11">
        <f>SUM(H188+I188+J188+Q188+T188+U188+V188+AF188+AE188)</f>
        <v>23501945</v>
      </c>
      <c r="H188" s="16">
        <f>11060244+589880</f>
        <v>11650124</v>
      </c>
      <c r="I188" s="16">
        <f>2493914+147470</f>
        <v>2641384</v>
      </c>
      <c r="J188" s="11">
        <f>SUM(K188:P188)</f>
        <v>6609927</v>
      </c>
      <c r="K188" s="16">
        <v>748982</v>
      </c>
      <c r="L188" s="16">
        <v>1403334</v>
      </c>
      <c r="M188" s="16">
        <v>3975270</v>
      </c>
      <c r="N188" s="16"/>
      <c r="O188" s="16">
        <v>441677</v>
      </c>
      <c r="P188" s="16">
        <v>40664</v>
      </c>
      <c r="Q188" s="11">
        <f t="shared" si="334"/>
        <v>0</v>
      </c>
      <c r="R188" s="11">
        <v>0</v>
      </c>
      <c r="S188" s="11">
        <v>0</v>
      </c>
      <c r="T188" s="11">
        <v>0</v>
      </c>
      <c r="U188" s="16">
        <v>73540</v>
      </c>
      <c r="V188" s="11">
        <f t="shared" si="423"/>
        <v>2078812</v>
      </c>
      <c r="W188" s="16">
        <v>61161</v>
      </c>
      <c r="X188" s="16">
        <v>795891</v>
      </c>
      <c r="Y188" s="16">
        <v>347264</v>
      </c>
      <c r="Z188" s="16">
        <v>793461</v>
      </c>
      <c r="AA188" s="16">
        <v>62925</v>
      </c>
      <c r="AB188" s="16"/>
      <c r="AC188" s="16"/>
      <c r="AD188" s="16">
        <f>16076+2034</f>
        <v>18110</v>
      </c>
      <c r="AE188" s="11"/>
      <c r="AF188" s="11">
        <f>SUM(AG188:BB188)</f>
        <v>448158</v>
      </c>
      <c r="AG188" s="11">
        <v>0</v>
      </c>
      <c r="AH188" s="11">
        <v>0</v>
      </c>
      <c r="AI188" s="11">
        <v>0</v>
      </c>
      <c r="AJ188" s="16">
        <v>86793</v>
      </c>
      <c r="AK188" s="16"/>
      <c r="AL188" s="16">
        <v>4773</v>
      </c>
      <c r="AM188" s="16"/>
      <c r="AN188" s="16">
        <v>122028</v>
      </c>
      <c r="AO188" s="16"/>
      <c r="AP188" s="16"/>
      <c r="AQ188" s="16"/>
      <c r="AR188" s="16"/>
      <c r="AS188" s="16"/>
      <c r="AT188" s="16">
        <v>99257</v>
      </c>
      <c r="AU188" s="16">
        <v>87000</v>
      </c>
      <c r="AV188" s="11"/>
      <c r="AW188" s="11"/>
      <c r="AX188" s="16">
        <v>47595</v>
      </c>
      <c r="AY188" s="11">
        <v>0</v>
      </c>
      <c r="AZ188" s="11">
        <v>0</v>
      </c>
      <c r="BA188" s="11">
        <v>0</v>
      </c>
      <c r="BB188" s="16">
        <v>712</v>
      </c>
      <c r="BC188" s="11">
        <f>SUM(BD188+BH188+BL188+BN188+BQ188)</f>
        <v>0</v>
      </c>
      <c r="BD188" s="11">
        <f>SUM(BE188:BG188)</f>
        <v>0</v>
      </c>
      <c r="BE188" s="11">
        <v>0</v>
      </c>
      <c r="BF188" s="11">
        <v>0</v>
      </c>
      <c r="BG188" s="11">
        <v>0</v>
      </c>
      <c r="BH188" s="11">
        <f t="shared" si="336"/>
        <v>0</v>
      </c>
      <c r="BI188" s="11">
        <v>0</v>
      </c>
      <c r="BJ188" s="11">
        <v>0</v>
      </c>
      <c r="BK188" s="11">
        <v>0</v>
      </c>
      <c r="BL188" s="11">
        <v>0</v>
      </c>
      <c r="BM188" s="11">
        <v>0</v>
      </c>
      <c r="BN188" s="11">
        <f t="shared" si="337"/>
        <v>0</v>
      </c>
      <c r="BO188" s="11">
        <v>0</v>
      </c>
      <c r="BP188" s="11">
        <v>0</v>
      </c>
      <c r="BQ188" s="11">
        <f t="shared" si="338"/>
        <v>0</v>
      </c>
      <c r="BR188" s="11">
        <v>0</v>
      </c>
      <c r="BS188" s="11">
        <v>0</v>
      </c>
      <c r="BT188" s="11">
        <v>0</v>
      </c>
      <c r="BU188" s="11">
        <v>0</v>
      </c>
      <c r="BV188" s="11">
        <v>0</v>
      </c>
      <c r="BW188" s="11">
        <v>0</v>
      </c>
      <c r="BX188" s="11">
        <v>0</v>
      </c>
      <c r="BY188" s="11">
        <v>0</v>
      </c>
      <c r="BZ188" s="11">
        <v>0</v>
      </c>
      <c r="CA188" s="11">
        <v>0</v>
      </c>
      <c r="CB188" s="11">
        <v>0</v>
      </c>
      <c r="CC188" s="11">
        <f>SUM(CD188+CT188)</f>
        <v>206527</v>
      </c>
      <c r="CD188" s="11">
        <f>SUM(CE188+CH188+CM188)</f>
        <v>206527</v>
      </c>
      <c r="CE188" s="11">
        <f t="shared" si="339"/>
        <v>206527</v>
      </c>
      <c r="CF188" s="11">
        <v>0</v>
      </c>
      <c r="CG188" s="16">
        <v>206527</v>
      </c>
      <c r="CH188" s="11">
        <f>SUM(CI188:CL188)</f>
        <v>0</v>
      </c>
      <c r="CI188" s="11">
        <v>0</v>
      </c>
      <c r="CJ188" s="11">
        <v>0</v>
      </c>
      <c r="CK188" s="11">
        <v>0</v>
      </c>
      <c r="CL188" s="11">
        <v>0</v>
      </c>
      <c r="CM188" s="11">
        <f>SUM(CN188:CQ188)</f>
        <v>0</v>
      </c>
      <c r="CN188" s="11">
        <v>0</v>
      </c>
      <c r="CO188" s="11">
        <v>0</v>
      </c>
      <c r="CP188" s="11"/>
      <c r="CQ188" s="11">
        <v>0</v>
      </c>
      <c r="CR188" s="11">
        <v>0</v>
      </c>
      <c r="CS188" s="11">
        <v>0</v>
      </c>
      <c r="CT188" s="11">
        <v>0</v>
      </c>
      <c r="CU188" s="11">
        <f t="shared" si="340"/>
        <v>0</v>
      </c>
      <c r="CV188" s="11">
        <f t="shared" si="341"/>
        <v>0</v>
      </c>
      <c r="CW188" s="11">
        <v>0</v>
      </c>
      <c r="CX188" s="12">
        <v>0</v>
      </c>
    </row>
    <row r="189" spans="1:102" ht="31.5" x14ac:dyDescent="0.25">
      <c r="A189" s="13"/>
      <c r="B189" s="14" t="s">
        <v>1</v>
      </c>
      <c r="C189" s="14" t="s">
        <v>84</v>
      </c>
      <c r="D189" s="15" t="s">
        <v>326</v>
      </c>
      <c r="E189" s="10">
        <f>SUM(F189+CC189+CU189)</f>
        <v>715443</v>
      </c>
      <c r="F189" s="11">
        <f>SUM(G189+BC189)</f>
        <v>715443</v>
      </c>
      <c r="G189" s="11">
        <f>SUM(H189+I189+J189+Q189+T189+U189+V189+AF189+AE189)</f>
        <v>715443</v>
      </c>
      <c r="H189" s="16">
        <f>528527+28188</f>
        <v>556715</v>
      </c>
      <c r="I189" s="16">
        <f>111435+7047</f>
        <v>118482</v>
      </c>
      <c r="J189" s="11">
        <f>SUM(K189:P189)</f>
        <v>25383</v>
      </c>
      <c r="K189" s="16"/>
      <c r="L189" s="16"/>
      <c r="M189" s="16"/>
      <c r="N189" s="16"/>
      <c r="O189" s="16">
        <v>25383</v>
      </c>
      <c r="P189" s="16"/>
      <c r="Q189" s="11">
        <f t="shared" si="334"/>
        <v>0</v>
      </c>
      <c r="R189" s="11">
        <v>0</v>
      </c>
      <c r="S189" s="11">
        <v>0</v>
      </c>
      <c r="T189" s="11">
        <v>0</v>
      </c>
      <c r="U189" s="16">
        <v>10819</v>
      </c>
      <c r="V189" s="11">
        <f t="shared" si="423"/>
        <v>3784</v>
      </c>
      <c r="W189" s="16">
        <v>593</v>
      </c>
      <c r="X189" s="16">
        <v>2167</v>
      </c>
      <c r="Y189" s="16">
        <v>680</v>
      </c>
      <c r="Z189" s="16">
        <v>344</v>
      </c>
      <c r="AA189" s="16"/>
      <c r="AB189" s="16"/>
      <c r="AC189" s="16"/>
      <c r="AD189" s="16"/>
      <c r="AE189" s="11">
        <v>0</v>
      </c>
      <c r="AF189" s="11">
        <f>SUM(AG189:BB189)</f>
        <v>260</v>
      </c>
      <c r="AG189" s="11">
        <v>0</v>
      </c>
      <c r="AH189" s="11">
        <v>0</v>
      </c>
      <c r="AI189" s="11">
        <v>0</v>
      </c>
      <c r="AJ189" s="16"/>
      <c r="AK189" s="16"/>
      <c r="AL189" s="16"/>
      <c r="AM189" s="16"/>
      <c r="AN189" s="16"/>
      <c r="AO189" s="16"/>
      <c r="AP189" s="16"/>
      <c r="AQ189" s="16">
        <v>260</v>
      </c>
      <c r="AR189" s="16"/>
      <c r="AS189" s="16"/>
      <c r="AT189" s="16"/>
      <c r="AU189" s="16"/>
      <c r="AV189" s="11"/>
      <c r="AW189" s="11"/>
      <c r="AX189" s="11">
        <v>0</v>
      </c>
      <c r="AY189" s="11">
        <v>0</v>
      </c>
      <c r="AZ189" s="11">
        <v>0</v>
      </c>
      <c r="BA189" s="11">
        <v>0</v>
      </c>
      <c r="BB189" s="11"/>
      <c r="BC189" s="11">
        <f>SUM(BD189+BH189+BL189+BN189+BQ189)</f>
        <v>0</v>
      </c>
      <c r="BD189" s="11">
        <f>SUM(BE189:BG189)</f>
        <v>0</v>
      </c>
      <c r="BE189" s="11">
        <v>0</v>
      </c>
      <c r="BF189" s="11">
        <v>0</v>
      </c>
      <c r="BG189" s="11">
        <v>0</v>
      </c>
      <c r="BH189" s="11">
        <f t="shared" si="336"/>
        <v>0</v>
      </c>
      <c r="BI189" s="11">
        <v>0</v>
      </c>
      <c r="BJ189" s="11">
        <v>0</v>
      </c>
      <c r="BK189" s="11">
        <v>0</v>
      </c>
      <c r="BL189" s="11">
        <v>0</v>
      </c>
      <c r="BM189" s="11">
        <v>0</v>
      </c>
      <c r="BN189" s="11">
        <f t="shared" si="337"/>
        <v>0</v>
      </c>
      <c r="BO189" s="11">
        <v>0</v>
      </c>
      <c r="BP189" s="11">
        <v>0</v>
      </c>
      <c r="BQ189" s="11">
        <f t="shared" si="338"/>
        <v>0</v>
      </c>
      <c r="BR189" s="11">
        <v>0</v>
      </c>
      <c r="BS189" s="11">
        <v>0</v>
      </c>
      <c r="BT189" s="11">
        <v>0</v>
      </c>
      <c r="BU189" s="11">
        <v>0</v>
      </c>
      <c r="BV189" s="11">
        <v>0</v>
      </c>
      <c r="BW189" s="11">
        <v>0</v>
      </c>
      <c r="BX189" s="11">
        <v>0</v>
      </c>
      <c r="BY189" s="11">
        <v>0</v>
      </c>
      <c r="BZ189" s="11">
        <v>0</v>
      </c>
      <c r="CA189" s="11">
        <v>0</v>
      </c>
      <c r="CB189" s="11">
        <v>0</v>
      </c>
      <c r="CC189" s="11">
        <f>SUM(CD189+CT189)</f>
        <v>0</v>
      </c>
      <c r="CD189" s="11">
        <f>SUM(CE189+CH189+CM189)</f>
        <v>0</v>
      </c>
      <c r="CE189" s="11">
        <f t="shared" si="339"/>
        <v>0</v>
      </c>
      <c r="CF189" s="11">
        <v>0</v>
      </c>
      <c r="CG189" s="16"/>
      <c r="CH189" s="11">
        <f>SUM(CI189:CL189)</f>
        <v>0</v>
      </c>
      <c r="CI189" s="11">
        <v>0</v>
      </c>
      <c r="CJ189" s="11">
        <v>0</v>
      </c>
      <c r="CK189" s="11">
        <v>0</v>
      </c>
      <c r="CL189" s="11">
        <v>0</v>
      </c>
      <c r="CM189" s="11">
        <f>SUM(CN189:CQ189)</f>
        <v>0</v>
      </c>
      <c r="CN189" s="11">
        <v>0</v>
      </c>
      <c r="CO189" s="11">
        <v>0</v>
      </c>
      <c r="CP189" s="11"/>
      <c r="CQ189" s="11">
        <v>0</v>
      </c>
      <c r="CR189" s="11">
        <v>0</v>
      </c>
      <c r="CS189" s="11">
        <v>0</v>
      </c>
      <c r="CT189" s="11">
        <v>0</v>
      </c>
      <c r="CU189" s="11">
        <f t="shared" si="340"/>
        <v>0</v>
      </c>
      <c r="CV189" s="11">
        <f t="shared" si="341"/>
        <v>0</v>
      </c>
      <c r="CW189" s="11">
        <v>0</v>
      </c>
      <c r="CX189" s="12">
        <v>0</v>
      </c>
    </row>
    <row r="190" spans="1:102" ht="31.5" x14ac:dyDescent="0.25">
      <c r="A190" s="7"/>
      <c r="B190" s="8" t="s">
        <v>327</v>
      </c>
      <c r="C190" s="8" t="s">
        <v>1</v>
      </c>
      <c r="D190" s="9" t="s">
        <v>15</v>
      </c>
      <c r="E190" s="10">
        <f>SUM(E191)</f>
        <v>201122235</v>
      </c>
      <c r="F190" s="11">
        <f t="shared" ref="F190:BW190" si="424">SUM(F191)</f>
        <v>201122235</v>
      </c>
      <c r="G190" s="11">
        <f t="shared" si="424"/>
        <v>0</v>
      </c>
      <c r="H190" s="11">
        <f t="shared" si="424"/>
        <v>0</v>
      </c>
      <c r="I190" s="11">
        <f t="shared" si="424"/>
        <v>0</v>
      </c>
      <c r="J190" s="11">
        <f t="shared" si="424"/>
        <v>0</v>
      </c>
      <c r="K190" s="11">
        <f t="shared" si="424"/>
        <v>0</v>
      </c>
      <c r="L190" s="11">
        <f t="shared" si="424"/>
        <v>0</v>
      </c>
      <c r="M190" s="11">
        <f t="shared" si="424"/>
        <v>0</v>
      </c>
      <c r="N190" s="11">
        <f t="shared" si="424"/>
        <v>0</v>
      </c>
      <c r="O190" s="11">
        <f t="shared" si="424"/>
        <v>0</v>
      </c>
      <c r="P190" s="11">
        <f t="shared" si="424"/>
        <v>0</v>
      </c>
      <c r="Q190" s="11">
        <f t="shared" si="424"/>
        <v>0</v>
      </c>
      <c r="R190" s="11">
        <f t="shared" si="424"/>
        <v>0</v>
      </c>
      <c r="S190" s="11">
        <f t="shared" si="424"/>
        <v>0</v>
      </c>
      <c r="T190" s="11">
        <f t="shared" si="424"/>
        <v>0</v>
      </c>
      <c r="U190" s="11">
        <f t="shared" si="424"/>
        <v>0</v>
      </c>
      <c r="V190" s="11">
        <f t="shared" si="424"/>
        <v>0</v>
      </c>
      <c r="W190" s="11">
        <f t="shared" si="424"/>
        <v>0</v>
      </c>
      <c r="X190" s="11">
        <f t="shared" si="424"/>
        <v>0</v>
      </c>
      <c r="Y190" s="11">
        <f t="shared" si="424"/>
        <v>0</v>
      </c>
      <c r="Z190" s="11">
        <f t="shared" si="424"/>
        <v>0</v>
      </c>
      <c r="AA190" s="11">
        <f t="shared" si="424"/>
        <v>0</v>
      </c>
      <c r="AB190" s="11">
        <f t="shared" si="424"/>
        <v>0</v>
      </c>
      <c r="AC190" s="11">
        <f t="shared" si="424"/>
        <v>0</v>
      </c>
      <c r="AD190" s="11">
        <f t="shared" si="424"/>
        <v>0</v>
      </c>
      <c r="AE190" s="11">
        <f t="shared" si="424"/>
        <v>0</v>
      </c>
      <c r="AF190" s="11">
        <f t="shared" si="424"/>
        <v>0</v>
      </c>
      <c r="AG190" s="11">
        <f t="shared" si="424"/>
        <v>0</v>
      </c>
      <c r="AH190" s="11">
        <f t="shared" si="424"/>
        <v>0</v>
      </c>
      <c r="AI190" s="11">
        <f t="shared" si="424"/>
        <v>0</v>
      </c>
      <c r="AJ190" s="11">
        <f t="shared" si="424"/>
        <v>0</v>
      </c>
      <c r="AK190" s="11">
        <f t="shared" si="424"/>
        <v>0</v>
      </c>
      <c r="AL190" s="11">
        <f t="shared" si="424"/>
        <v>0</v>
      </c>
      <c r="AM190" s="11">
        <f t="shared" si="424"/>
        <v>0</v>
      </c>
      <c r="AN190" s="11">
        <f t="shared" si="424"/>
        <v>0</v>
      </c>
      <c r="AO190" s="11">
        <f t="shared" si="424"/>
        <v>0</v>
      </c>
      <c r="AP190" s="11">
        <f t="shared" si="424"/>
        <v>0</v>
      </c>
      <c r="AQ190" s="11">
        <f t="shared" si="424"/>
        <v>0</v>
      </c>
      <c r="AR190" s="11">
        <f t="shared" si="424"/>
        <v>0</v>
      </c>
      <c r="AS190" s="11">
        <f t="shared" si="424"/>
        <v>0</v>
      </c>
      <c r="AT190" s="11">
        <f t="shared" si="424"/>
        <v>0</v>
      </c>
      <c r="AU190" s="11">
        <f t="shared" si="424"/>
        <v>0</v>
      </c>
      <c r="AV190" s="11"/>
      <c r="AW190" s="11"/>
      <c r="AX190" s="11">
        <f t="shared" si="424"/>
        <v>0</v>
      </c>
      <c r="AY190" s="11">
        <f t="shared" si="424"/>
        <v>0</v>
      </c>
      <c r="AZ190" s="11">
        <f t="shared" si="424"/>
        <v>0</v>
      </c>
      <c r="BA190" s="11">
        <f t="shared" si="424"/>
        <v>0</v>
      </c>
      <c r="BB190" s="11">
        <f t="shared" si="424"/>
        <v>0</v>
      </c>
      <c r="BC190" s="11">
        <f t="shared" si="424"/>
        <v>201122235</v>
      </c>
      <c r="BD190" s="11">
        <f t="shared" si="424"/>
        <v>0</v>
      </c>
      <c r="BE190" s="11">
        <f t="shared" si="424"/>
        <v>0</v>
      </c>
      <c r="BF190" s="11">
        <f t="shared" si="424"/>
        <v>0</v>
      </c>
      <c r="BG190" s="11">
        <f t="shared" si="424"/>
        <v>0</v>
      </c>
      <c r="BH190" s="11">
        <f t="shared" si="424"/>
        <v>0</v>
      </c>
      <c r="BI190" s="11">
        <f t="shared" si="424"/>
        <v>0</v>
      </c>
      <c r="BJ190" s="11">
        <f t="shared" si="424"/>
        <v>0</v>
      </c>
      <c r="BK190" s="11">
        <f t="shared" si="424"/>
        <v>0</v>
      </c>
      <c r="BL190" s="11">
        <f t="shared" si="424"/>
        <v>0</v>
      </c>
      <c r="BM190" s="11">
        <f t="shared" si="424"/>
        <v>0</v>
      </c>
      <c r="BN190" s="11">
        <f t="shared" si="424"/>
        <v>0</v>
      </c>
      <c r="BO190" s="11">
        <f t="shared" si="424"/>
        <v>0</v>
      </c>
      <c r="BP190" s="11">
        <f t="shared" si="424"/>
        <v>0</v>
      </c>
      <c r="BQ190" s="11">
        <f t="shared" si="424"/>
        <v>201122235</v>
      </c>
      <c r="BR190" s="11">
        <f t="shared" si="424"/>
        <v>0</v>
      </c>
      <c r="BS190" s="11">
        <f t="shared" si="424"/>
        <v>0</v>
      </c>
      <c r="BT190" s="11">
        <f t="shared" si="424"/>
        <v>0</v>
      </c>
      <c r="BU190" s="11">
        <f t="shared" si="424"/>
        <v>0</v>
      </c>
      <c r="BV190" s="11">
        <f t="shared" si="424"/>
        <v>0</v>
      </c>
      <c r="BW190" s="11">
        <f t="shared" si="424"/>
        <v>0</v>
      </c>
      <c r="BX190" s="11">
        <f t="shared" ref="BX190:CX190" si="425">SUM(BX191)</f>
        <v>168697171</v>
      </c>
      <c r="BY190" s="11">
        <f t="shared" si="425"/>
        <v>0</v>
      </c>
      <c r="BZ190" s="11">
        <f t="shared" si="425"/>
        <v>0</v>
      </c>
      <c r="CA190" s="11">
        <f t="shared" si="425"/>
        <v>32425064</v>
      </c>
      <c r="CB190" s="11">
        <f t="shared" si="425"/>
        <v>0</v>
      </c>
      <c r="CC190" s="11">
        <f t="shared" si="425"/>
        <v>0</v>
      </c>
      <c r="CD190" s="11">
        <f t="shared" si="425"/>
        <v>0</v>
      </c>
      <c r="CE190" s="11">
        <f t="shared" si="425"/>
        <v>0</v>
      </c>
      <c r="CF190" s="11">
        <f t="shared" si="425"/>
        <v>0</v>
      </c>
      <c r="CG190" s="11">
        <f t="shared" si="425"/>
        <v>0</v>
      </c>
      <c r="CH190" s="11">
        <f t="shared" si="425"/>
        <v>0</v>
      </c>
      <c r="CI190" s="11">
        <f t="shared" si="425"/>
        <v>0</v>
      </c>
      <c r="CJ190" s="11">
        <f t="shared" si="425"/>
        <v>0</v>
      </c>
      <c r="CK190" s="11">
        <f t="shared" si="425"/>
        <v>0</v>
      </c>
      <c r="CL190" s="11">
        <f t="shared" si="425"/>
        <v>0</v>
      </c>
      <c r="CM190" s="11">
        <f t="shared" si="425"/>
        <v>0</v>
      </c>
      <c r="CN190" s="11">
        <f t="shared" si="425"/>
        <v>0</v>
      </c>
      <c r="CO190" s="11">
        <f t="shared" si="425"/>
        <v>0</v>
      </c>
      <c r="CP190" s="11"/>
      <c r="CQ190" s="11">
        <f t="shared" si="425"/>
        <v>0</v>
      </c>
      <c r="CR190" s="11">
        <f t="shared" si="425"/>
        <v>0</v>
      </c>
      <c r="CS190" s="11">
        <f t="shared" si="425"/>
        <v>0</v>
      </c>
      <c r="CT190" s="11">
        <f t="shared" si="425"/>
        <v>0</v>
      </c>
      <c r="CU190" s="11">
        <f t="shared" si="425"/>
        <v>0</v>
      </c>
      <c r="CV190" s="11">
        <f t="shared" si="425"/>
        <v>0</v>
      </c>
      <c r="CW190" s="11">
        <f t="shared" si="425"/>
        <v>0</v>
      </c>
      <c r="CX190" s="12">
        <f t="shared" si="425"/>
        <v>0</v>
      </c>
    </row>
    <row r="191" spans="1:102" ht="31.5" x14ac:dyDescent="0.25">
      <c r="A191" s="13"/>
      <c r="B191" s="14" t="s">
        <v>1</v>
      </c>
      <c r="C191" s="14" t="s">
        <v>84</v>
      </c>
      <c r="D191" s="15" t="s">
        <v>328</v>
      </c>
      <c r="E191" s="10">
        <f>SUM(F191+CC191+CU191)</f>
        <v>201122235</v>
      </c>
      <c r="F191" s="11">
        <f>SUM(G191+BC191)</f>
        <v>201122235</v>
      </c>
      <c r="G191" s="11">
        <f>SUM(H191+I191+J191+Q191+T191+U191+V191+AF191+AE191)</f>
        <v>0</v>
      </c>
      <c r="H191" s="11">
        <v>0</v>
      </c>
      <c r="I191" s="11">
        <v>0</v>
      </c>
      <c r="J191" s="11">
        <f>SUM(K191:P191)</f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f t="shared" si="334"/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f t="shared" ref="V191" si="426">SUM(W191:AD191)</f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f>SUM(AG191:BB191)</f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0</v>
      </c>
      <c r="AT191" s="11">
        <v>0</v>
      </c>
      <c r="AU191" s="11">
        <v>0</v>
      </c>
      <c r="AV191" s="11"/>
      <c r="AW191" s="11"/>
      <c r="AX191" s="11">
        <v>0</v>
      </c>
      <c r="AY191" s="11">
        <v>0</v>
      </c>
      <c r="AZ191" s="11">
        <v>0</v>
      </c>
      <c r="BA191" s="11">
        <v>0</v>
      </c>
      <c r="BB191" s="11">
        <v>0</v>
      </c>
      <c r="BC191" s="11">
        <f>SUM(BD191+BH191+BL191+BN191+BQ191)</f>
        <v>201122235</v>
      </c>
      <c r="BD191" s="11">
        <f>SUM(BE191:BG191)</f>
        <v>0</v>
      </c>
      <c r="BE191" s="11">
        <v>0</v>
      </c>
      <c r="BF191" s="11">
        <v>0</v>
      </c>
      <c r="BG191" s="11">
        <v>0</v>
      </c>
      <c r="BH191" s="11">
        <f t="shared" si="336"/>
        <v>0</v>
      </c>
      <c r="BI191" s="11">
        <v>0</v>
      </c>
      <c r="BJ191" s="11">
        <v>0</v>
      </c>
      <c r="BK191" s="11">
        <v>0</v>
      </c>
      <c r="BL191" s="11">
        <v>0</v>
      </c>
      <c r="BM191" s="11">
        <v>0</v>
      </c>
      <c r="BN191" s="11">
        <f t="shared" si="337"/>
        <v>0</v>
      </c>
      <c r="BO191" s="11">
        <v>0</v>
      </c>
      <c r="BP191" s="11">
        <v>0</v>
      </c>
      <c r="BQ191" s="11">
        <f t="shared" si="338"/>
        <v>201122235</v>
      </c>
      <c r="BR191" s="11">
        <v>0</v>
      </c>
      <c r="BS191" s="11">
        <v>0</v>
      </c>
      <c r="BT191" s="11">
        <v>0</v>
      </c>
      <c r="BU191" s="11">
        <v>0</v>
      </c>
      <c r="BV191" s="11">
        <v>0</v>
      </c>
      <c r="BW191" s="11">
        <v>0</v>
      </c>
      <c r="BX191" s="16">
        <f>176028444-7209457-121816</f>
        <v>168697171</v>
      </c>
      <c r="BY191" s="11">
        <v>0</v>
      </c>
      <c r="BZ191" s="11">
        <v>0</v>
      </c>
      <c r="CA191" s="16">
        <f>30102149+2322915</f>
        <v>32425064</v>
      </c>
      <c r="CB191" s="11">
        <v>0</v>
      </c>
      <c r="CC191" s="11">
        <f>SUM(CD191+CT191)</f>
        <v>0</v>
      </c>
      <c r="CD191" s="11">
        <f>SUM(CE191+CH191+CM191)</f>
        <v>0</v>
      </c>
      <c r="CE191" s="11">
        <f t="shared" si="339"/>
        <v>0</v>
      </c>
      <c r="CF191" s="11">
        <v>0</v>
      </c>
      <c r="CG191" s="11">
        <v>0</v>
      </c>
      <c r="CH191" s="11">
        <f>SUM(CI191:CL191)</f>
        <v>0</v>
      </c>
      <c r="CI191" s="11">
        <v>0</v>
      </c>
      <c r="CJ191" s="11">
        <v>0</v>
      </c>
      <c r="CK191" s="11">
        <v>0</v>
      </c>
      <c r="CL191" s="11">
        <v>0</v>
      </c>
      <c r="CM191" s="11">
        <f>SUM(CN191:CQ191)</f>
        <v>0</v>
      </c>
      <c r="CN191" s="11">
        <v>0</v>
      </c>
      <c r="CO191" s="11">
        <v>0</v>
      </c>
      <c r="CP191" s="11"/>
      <c r="CQ191" s="11">
        <v>0</v>
      </c>
      <c r="CR191" s="11">
        <v>0</v>
      </c>
      <c r="CS191" s="11">
        <v>0</v>
      </c>
      <c r="CT191" s="11">
        <v>0</v>
      </c>
      <c r="CU191" s="11">
        <f t="shared" si="340"/>
        <v>0</v>
      </c>
      <c r="CV191" s="11">
        <f t="shared" si="341"/>
        <v>0</v>
      </c>
      <c r="CW191" s="11">
        <v>0</v>
      </c>
      <c r="CX191" s="12">
        <v>0</v>
      </c>
    </row>
    <row r="192" spans="1:102" ht="31.5" x14ac:dyDescent="0.25">
      <c r="A192" s="7"/>
      <c r="B192" s="8" t="s">
        <v>329</v>
      </c>
      <c r="C192" s="8" t="s">
        <v>1</v>
      </c>
      <c r="D192" s="9" t="s">
        <v>330</v>
      </c>
      <c r="E192" s="10">
        <f t="shared" ref="E192:AL192" si="427">SUM(E193)</f>
        <v>23279783</v>
      </c>
      <c r="F192" s="11">
        <f t="shared" si="427"/>
        <v>23279783</v>
      </c>
      <c r="G192" s="11">
        <f t="shared" si="427"/>
        <v>0</v>
      </c>
      <c r="H192" s="11">
        <f t="shared" si="427"/>
        <v>0</v>
      </c>
      <c r="I192" s="11">
        <f t="shared" si="427"/>
        <v>0</v>
      </c>
      <c r="J192" s="11">
        <f t="shared" si="427"/>
        <v>0</v>
      </c>
      <c r="K192" s="11">
        <f t="shared" si="427"/>
        <v>0</v>
      </c>
      <c r="L192" s="11">
        <f t="shared" si="427"/>
        <v>0</v>
      </c>
      <c r="M192" s="11">
        <f t="shared" si="427"/>
        <v>0</v>
      </c>
      <c r="N192" s="11">
        <f t="shared" si="427"/>
        <v>0</v>
      </c>
      <c r="O192" s="11">
        <f t="shared" si="427"/>
        <v>0</v>
      </c>
      <c r="P192" s="11">
        <f t="shared" si="427"/>
        <v>0</v>
      </c>
      <c r="Q192" s="11">
        <f t="shared" si="427"/>
        <v>0</v>
      </c>
      <c r="R192" s="11">
        <f t="shared" si="427"/>
        <v>0</v>
      </c>
      <c r="S192" s="11">
        <f t="shared" si="427"/>
        <v>0</v>
      </c>
      <c r="T192" s="11">
        <f t="shared" si="427"/>
        <v>0</v>
      </c>
      <c r="U192" s="11">
        <f t="shared" si="427"/>
        <v>0</v>
      </c>
      <c r="V192" s="11">
        <f t="shared" si="427"/>
        <v>0</v>
      </c>
      <c r="W192" s="11">
        <f t="shared" si="427"/>
        <v>0</v>
      </c>
      <c r="X192" s="11">
        <f t="shared" si="427"/>
        <v>0</v>
      </c>
      <c r="Y192" s="11">
        <f t="shared" si="427"/>
        <v>0</v>
      </c>
      <c r="Z192" s="11">
        <f t="shared" si="427"/>
        <v>0</v>
      </c>
      <c r="AA192" s="11">
        <f t="shared" si="427"/>
        <v>0</v>
      </c>
      <c r="AB192" s="11">
        <f t="shared" si="427"/>
        <v>0</v>
      </c>
      <c r="AC192" s="11">
        <f t="shared" si="427"/>
        <v>0</v>
      </c>
      <c r="AD192" s="11">
        <f t="shared" si="427"/>
        <v>0</v>
      </c>
      <c r="AE192" s="11">
        <f t="shared" si="427"/>
        <v>0</v>
      </c>
      <c r="AF192" s="11">
        <f t="shared" si="427"/>
        <v>0</v>
      </c>
      <c r="AG192" s="11">
        <f t="shared" si="427"/>
        <v>0</v>
      </c>
      <c r="AH192" s="11">
        <f t="shared" si="427"/>
        <v>0</v>
      </c>
      <c r="AI192" s="11">
        <f t="shared" si="427"/>
        <v>0</v>
      </c>
      <c r="AJ192" s="11">
        <f t="shared" si="427"/>
        <v>0</v>
      </c>
      <c r="AK192" s="11">
        <f t="shared" si="427"/>
        <v>0</v>
      </c>
      <c r="AL192" s="11">
        <f t="shared" si="427"/>
        <v>0</v>
      </c>
      <c r="AM192" s="11">
        <f t="shared" ref="AM192:CX192" si="428">SUM(AM193)</f>
        <v>0</v>
      </c>
      <c r="AN192" s="11">
        <f t="shared" si="428"/>
        <v>0</v>
      </c>
      <c r="AO192" s="11">
        <f t="shared" si="428"/>
        <v>0</v>
      </c>
      <c r="AP192" s="11">
        <f t="shared" si="428"/>
        <v>0</v>
      </c>
      <c r="AQ192" s="11">
        <f t="shared" si="428"/>
        <v>0</v>
      </c>
      <c r="AR192" s="11">
        <f t="shared" si="428"/>
        <v>0</v>
      </c>
      <c r="AS192" s="11">
        <f t="shared" si="428"/>
        <v>0</v>
      </c>
      <c r="AT192" s="11">
        <f t="shared" si="428"/>
        <v>0</v>
      </c>
      <c r="AU192" s="11">
        <f t="shared" si="428"/>
        <v>0</v>
      </c>
      <c r="AV192" s="11"/>
      <c r="AW192" s="11"/>
      <c r="AX192" s="11">
        <f t="shared" si="428"/>
        <v>0</v>
      </c>
      <c r="AY192" s="11">
        <f t="shared" si="428"/>
        <v>0</v>
      </c>
      <c r="AZ192" s="11">
        <f t="shared" si="428"/>
        <v>0</v>
      </c>
      <c r="BA192" s="11">
        <f t="shared" si="428"/>
        <v>0</v>
      </c>
      <c r="BB192" s="11">
        <f t="shared" si="428"/>
        <v>0</v>
      </c>
      <c r="BC192" s="11">
        <f t="shared" si="428"/>
        <v>23279783</v>
      </c>
      <c r="BD192" s="11">
        <f t="shared" si="428"/>
        <v>0</v>
      </c>
      <c r="BE192" s="11">
        <f t="shared" si="428"/>
        <v>0</v>
      </c>
      <c r="BF192" s="11">
        <f t="shared" si="428"/>
        <v>0</v>
      </c>
      <c r="BG192" s="11">
        <f t="shared" si="428"/>
        <v>0</v>
      </c>
      <c r="BH192" s="11">
        <f t="shared" si="428"/>
        <v>0</v>
      </c>
      <c r="BI192" s="11">
        <f t="shared" si="428"/>
        <v>0</v>
      </c>
      <c r="BJ192" s="11">
        <f t="shared" si="428"/>
        <v>0</v>
      </c>
      <c r="BK192" s="11">
        <f t="shared" si="428"/>
        <v>0</v>
      </c>
      <c r="BL192" s="11">
        <f t="shared" si="428"/>
        <v>0</v>
      </c>
      <c r="BM192" s="11">
        <f t="shared" si="428"/>
        <v>0</v>
      </c>
      <c r="BN192" s="11">
        <f t="shared" si="428"/>
        <v>0</v>
      </c>
      <c r="BO192" s="11">
        <f t="shared" si="428"/>
        <v>0</v>
      </c>
      <c r="BP192" s="11">
        <f t="shared" si="428"/>
        <v>0</v>
      </c>
      <c r="BQ192" s="11">
        <f t="shared" si="428"/>
        <v>23279783</v>
      </c>
      <c r="BR192" s="11">
        <f t="shared" si="428"/>
        <v>0</v>
      </c>
      <c r="BS192" s="11">
        <f t="shared" si="428"/>
        <v>0</v>
      </c>
      <c r="BT192" s="11">
        <f t="shared" si="428"/>
        <v>0</v>
      </c>
      <c r="BU192" s="11">
        <f t="shared" si="428"/>
        <v>23279783</v>
      </c>
      <c r="BV192" s="11">
        <f t="shared" si="428"/>
        <v>0</v>
      </c>
      <c r="BW192" s="11">
        <f t="shared" si="428"/>
        <v>0</v>
      </c>
      <c r="BX192" s="11">
        <f t="shared" si="428"/>
        <v>0</v>
      </c>
      <c r="BY192" s="11">
        <f t="shared" si="428"/>
        <v>0</v>
      </c>
      <c r="BZ192" s="11">
        <f t="shared" si="428"/>
        <v>0</v>
      </c>
      <c r="CA192" s="11">
        <f t="shared" si="428"/>
        <v>0</v>
      </c>
      <c r="CB192" s="11">
        <f t="shared" si="428"/>
        <v>0</v>
      </c>
      <c r="CC192" s="11">
        <f t="shared" si="428"/>
        <v>0</v>
      </c>
      <c r="CD192" s="11">
        <f t="shared" si="428"/>
        <v>0</v>
      </c>
      <c r="CE192" s="11">
        <f t="shared" si="428"/>
        <v>0</v>
      </c>
      <c r="CF192" s="11">
        <f t="shared" si="428"/>
        <v>0</v>
      </c>
      <c r="CG192" s="11">
        <f t="shared" si="428"/>
        <v>0</v>
      </c>
      <c r="CH192" s="11">
        <f t="shared" si="428"/>
        <v>0</v>
      </c>
      <c r="CI192" s="11">
        <f t="shared" si="428"/>
        <v>0</v>
      </c>
      <c r="CJ192" s="11">
        <f t="shared" si="428"/>
        <v>0</v>
      </c>
      <c r="CK192" s="11">
        <f t="shared" si="428"/>
        <v>0</v>
      </c>
      <c r="CL192" s="11">
        <f t="shared" si="428"/>
        <v>0</v>
      </c>
      <c r="CM192" s="11">
        <f t="shared" si="428"/>
        <v>0</v>
      </c>
      <c r="CN192" s="11">
        <f t="shared" si="428"/>
        <v>0</v>
      </c>
      <c r="CO192" s="11">
        <f t="shared" si="428"/>
        <v>0</v>
      </c>
      <c r="CP192" s="11"/>
      <c r="CQ192" s="11">
        <f t="shared" si="428"/>
        <v>0</v>
      </c>
      <c r="CR192" s="11">
        <f t="shared" si="428"/>
        <v>0</v>
      </c>
      <c r="CS192" s="11">
        <f t="shared" si="428"/>
        <v>0</v>
      </c>
      <c r="CT192" s="11">
        <f t="shared" si="428"/>
        <v>0</v>
      </c>
      <c r="CU192" s="11">
        <f t="shared" si="428"/>
        <v>0</v>
      </c>
      <c r="CV192" s="11">
        <f t="shared" si="428"/>
        <v>0</v>
      </c>
      <c r="CW192" s="11">
        <f t="shared" si="428"/>
        <v>0</v>
      </c>
      <c r="CX192" s="12">
        <f t="shared" si="428"/>
        <v>0</v>
      </c>
    </row>
    <row r="193" spans="1:102" ht="15.75" x14ac:dyDescent="0.25">
      <c r="A193" s="13"/>
      <c r="B193" s="14" t="s">
        <v>1</v>
      </c>
      <c r="C193" s="14" t="s">
        <v>109</v>
      </c>
      <c r="D193" s="15" t="s">
        <v>53</v>
      </c>
      <c r="E193" s="10">
        <f>SUM(F193+CC193+CU193)</f>
        <v>23279783</v>
      </c>
      <c r="F193" s="11">
        <f>SUM(G193+BC193)</f>
        <v>23279783</v>
      </c>
      <c r="G193" s="11">
        <f>SUM(H193+I193+J193+Q193+T193+U193+V193+AF193+AE193)</f>
        <v>0</v>
      </c>
      <c r="H193" s="11">
        <v>0</v>
      </c>
      <c r="I193" s="11">
        <v>0</v>
      </c>
      <c r="J193" s="11">
        <f>SUM(K193:P193)</f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f t="shared" si="334"/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f t="shared" ref="V193" si="429">SUM(W193:AD193)</f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f>SUM(AG193:BB193)</f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0</v>
      </c>
      <c r="AT193" s="11">
        <v>0</v>
      </c>
      <c r="AU193" s="11">
        <v>0</v>
      </c>
      <c r="AV193" s="11"/>
      <c r="AW193" s="11"/>
      <c r="AX193" s="11">
        <v>0</v>
      </c>
      <c r="AY193" s="11">
        <v>0</v>
      </c>
      <c r="AZ193" s="11">
        <v>0</v>
      </c>
      <c r="BA193" s="11">
        <v>0</v>
      </c>
      <c r="BB193" s="11">
        <v>0</v>
      </c>
      <c r="BC193" s="11">
        <f>SUM(BD193+BH193+BL193+BN193+BQ193)</f>
        <v>23279783</v>
      </c>
      <c r="BD193" s="11">
        <f>SUM(BE193:BG193)</f>
        <v>0</v>
      </c>
      <c r="BE193" s="11">
        <v>0</v>
      </c>
      <c r="BF193" s="11">
        <v>0</v>
      </c>
      <c r="BG193" s="11">
        <v>0</v>
      </c>
      <c r="BH193" s="11">
        <f t="shared" si="336"/>
        <v>0</v>
      </c>
      <c r="BI193" s="11">
        <v>0</v>
      </c>
      <c r="BJ193" s="11">
        <v>0</v>
      </c>
      <c r="BK193" s="11">
        <v>0</v>
      </c>
      <c r="BL193" s="11">
        <v>0</v>
      </c>
      <c r="BM193" s="11">
        <v>0</v>
      </c>
      <c r="BN193" s="11">
        <f t="shared" si="337"/>
        <v>0</v>
      </c>
      <c r="BO193" s="11">
        <v>0</v>
      </c>
      <c r="BP193" s="11">
        <v>0</v>
      </c>
      <c r="BQ193" s="11">
        <f t="shared" si="338"/>
        <v>23279783</v>
      </c>
      <c r="BR193" s="11">
        <v>0</v>
      </c>
      <c r="BS193" s="11">
        <v>0</v>
      </c>
      <c r="BT193" s="11">
        <v>0</v>
      </c>
      <c r="BU193" s="16">
        <f>17279783+6000000</f>
        <v>23279783</v>
      </c>
      <c r="BV193" s="11">
        <v>0</v>
      </c>
      <c r="BW193" s="11">
        <v>0</v>
      </c>
      <c r="BX193" s="11">
        <v>0</v>
      </c>
      <c r="BY193" s="11">
        <v>0</v>
      </c>
      <c r="BZ193" s="11">
        <v>0</v>
      </c>
      <c r="CA193" s="11">
        <v>0</v>
      </c>
      <c r="CB193" s="11">
        <v>0</v>
      </c>
      <c r="CC193" s="11">
        <f>SUM(CD193+CT193)</f>
        <v>0</v>
      </c>
      <c r="CD193" s="11">
        <f>SUM(CE193+CH193+CM193)</f>
        <v>0</v>
      </c>
      <c r="CE193" s="11">
        <f t="shared" si="339"/>
        <v>0</v>
      </c>
      <c r="CF193" s="11">
        <v>0</v>
      </c>
      <c r="CG193" s="11">
        <v>0</v>
      </c>
      <c r="CH193" s="11">
        <f>SUM(CI193:CL193)</f>
        <v>0</v>
      </c>
      <c r="CI193" s="11">
        <v>0</v>
      </c>
      <c r="CJ193" s="11">
        <v>0</v>
      </c>
      <c r="CK193" s="11">
        <v>0</v>
      </c>
      <c r="CL193" s="11">
        <v>0</v>
      </c>
      <c r="CM193" s="11">
        <f>SUM(CN193:CQ193)</f>
        <v>0</v>
      </c>
      <c r="CN193" s="11">
        <v>0</v>
      </c>
      <c r="CO193" s="11">
        <v>0</v>
      </c>
      <c r="CP193" s="11"/>
      <c r="CQ193" s="11">
        <v>0</v>
      </c>
      <c r="CR193" s="11">
        <v>0</v>
      </c>
      <c r="CS193" s="11">
        <v>0</v>
      </c>
      <c r="CT193" s="11">
        <v>0</v>
      </c>
      <c r="CU193" s="11">
        <f t="shared" si="340"/>
        <v>0</v>
      </c>
      <c r="CV193" s="11">
        <f t="shared" si="341"/>
        <v>0</v>
      </c>
      <c r="CW193" s="11">
        <v>0</v>
      </c>
      <c r="CX193" s="12">
        <v>0</v>
      </c>
    </row>
    <row r="194" spans="1:102" ht="31.5" x14ac:dyDescent="0.25">
      <c r="A194" s="7"/>
      <c r="B194" s="8" t="s">
        <v>331</v>
      </c>
      <c r="C194" s="8" t="s">
        <v>1</v>
      </c>
      <c r="D194" s="9" t="s">
        <v>332</v>
      </c>
      <c r="E194" s="10">
        <f t="shared" ref="E194:AL194" si="430">SUM(E195)</f>
        <v>100000</v>
      </c>
      <c r="F194" s="11">
        <f t="shared" si="430"/>
        <v>100000</v>
      </c>
      <c r="G194" s="11">
        <f t="shared" si="430"/>
        <v>0</v>
      </c>
      <c r="H194" s="11">
        <f t="shared" si="430"/>
        <v>0</v>
      </c>
      <c r="I194" s="11">
        <f t="shared" si="430"/>
        <v>0</v>
      </c>
      <c r="J194" s="11">
        <f t="shared" si="430"/>
        <v>0</v>
      </c>
      <c r="K194" s="11">
        <f t="shared" si="430"/>
        <v>0</v>
      </c>
      <c r="L194" s="11">
        <f t="shared" si="430"/>
        <v>0</v>
      </c>
      <c r="M194" s="11">
        <f t="shared" si="430"/>
        <v>0</v>
      </c>
      <c r="N194" s="11">
        <f t="shared" si="430"/>
        <v>0</v>
      </c>
      <c r="O194" s="11">
        <f t="shared" si="430"/>
        <v>0</v>
      </c>
      <c r="P194" s="11">
        <f t="shared" si="430"/>
        <v>0</v>
      </c>
      <c r="Q194" s="11">
        <f t="shared" si="430"/>
        <v>0</v>
      </c>
      <c r="R194" s="11">
        <f t="shared" si="430"/>
        <v>0</v>
      </c>
      <c r="S194" s="11">
        <f t="shared" si="430"/>
        <v>0</v>
      </c>
      <c r="T194" s="11">
        <f t="shared" si="430"/>
        <v>0</v>
      </c>
      <c r="U194" s="11">
        <f t="shared" si="430"/>
        <v>0</v>
      </c>
      <c r="V194" s="11">
        <f t="shared" si="430"/>
        <v>0</v>
      </c>
      <c r="W194" s="11">
        <f t="shared" si="430"/>
        <v>0</v>
      </c>
      <c r="X194" s="11">
        <f t="shared" si="430"/>
        <v>0</v>
      </c>
      <c r="Y194" s="11">
        <f t="shared" si="430"/>
        <v>0</v>
      </c>
      <c r="Z194" s="11">
        <f t="shared" si="430"/>
        <v>0</v>
      </c>
      <c r="AA194" s="11">
        <f t="shared" si="430"/>
        <v>0</v>
      </c>
      <c r="AB194" s="11">
        <f t="shared" si="430"/>
        <v>0</v>
      </c>
      <c r="AC194" s="11">
        <f t="shared" si="430"/>
        <v>0</v>
      </c>
      <c r="AD194" s="11">
        <f t="shared" si="430"/>
        <v>0</v>
      </c>
      <c r="AE194" s="11">
        <f t="shared" si="430"/>
        <v>0</v>
      </c>
      <c r="AF194" s="11">
        <f t="shared" si="430"/>
        <v>0</v>
      </c>
      <c r="AG194" s="11">
        <f t="shared" si="430"/>
        <v>0</v>
      </c>
      <c r="AH194" s="11">
        <f t="shared" si="430"/>
        <v>0</v>
      </c>
      <c r="AI194" s="11">
        <f t="shared" si="430"/>
        <v>0</v>
      </c>
      <c r="AJ194" s="11">
        <f t="shared" si="430"/>
        <v>0</v>
      </c>
      <c r="AK194" s="11">
        <f t="shared" si="430"/>
        <v>0</v>
      </c>
      <c r="AL194" s="11">
        <f t="shared" si="430"/>
        <v>0</v>
      </c>
      <c r="AM194" s="11">
        <f t="shared" ref="AM194:CX194" si="431">SUM(AM195)</f>
        <v>0</v>
      </c>
      <c r="AN194" s="11">
        <f t="shared" si="431"/>
        <v>0</v>
      </c>
      <c r="AO194" s="11">
        <f t="shared" si="431"/>
        <v>0</v>
      </c>
      <c r="AP194" s="11">
        <f t="shared" si="431"/>
        <v>0</v>
      </c>
      <c r="AQ194" s="11">
        <f t="shared" si="431"/>
        <v>0</v>
      </c>
      <c r="AR194" s="11">
        <f t="shared" si="431"/>
        <v>0</v>
      </c>
      <c r="AS194" s="11">
        <f t="shared" si="431"/>
        <v>0</v>
      </c>
      <c r="AT194" s="11">
        <f t="shared" si="431"/>
        <v>0</v>
      </c>
      <c r="AU194" s="11">
        <f t="shared" si="431"/>
        <v>0</v>
      </c>
      <c r="AV194" s="11"/>
      <c r="AW194" s="11"/>
      <c r="AX194" s="11">
        <f t="shared" si="431"/>
        <v>0</v>
      </c>
      <c r="AY194" s="11">
        <f t="shared" si="431"/>
        <v>0</v>
      </c>
      <c r="AZ194" s="11">
        <f t="shared" si="431"/>
        <v>0</v>
      </c>
      <c r="BA194" s="11">
        <f t="shared" si="431"/>
        <v>0</v>
      </c>
      <c r="BB194" s="11">
        <f t="shared" si="431"/>
        <v>0</v>
      </c>
      <c r="BC194" s="11">
        <f t="shared" si="431"/>
        <v>100000</v>
      </c>
      <c r="BD194" s="11">
        <f t="shared" si="431"/>
        <v>0</v>
      </c>
      <c r="BE194" s="11">
        <f t="shared" si="431"/>
        <v>0</v>
      </c>
      <c r="BF194" s="11">
        <f t="shared" si="431"/>
        <v>0</v>
      </c>
      <c r="BG194" s="11">
        <f t="shared" si="431"/>
        <v>0</v>
      </c>
      <c r="BH194" s="11">
        <f t="shared" si="431"/>
        <v>0</v>
      </c>
      <c r="BI194" s="11">
        <f t="shared" si="431"/>
        <v>0</v>
      </c>
      <c r="BJ194" s="11">
        <f t="shared" si="431"/>
        <v>0</v>
      </c>
      <c r="BK194" s="11">
        <f t="shared" si="431"/>
        <v>0</v>
      </c>
      <c r="BL194" s="11">
        <f t="shared" si="431"/>
        <v>0</v>
      </c>
      <c r="BM194" s="11">
        <f t="shared" si="431"/>
        <v>0</v>
      </c>
      <c r="BN194" s="11">
        <f t="shared" si="431"/>
        <v>0</v>
      </c>
      <c r="BO194" s="11">
        <f t="shared" si="431"/>
        <v>0</v>
      </c>
      <c r="BP194" s="11">
        <f t="shared" si="431"/>
        <v>0</v>
      </c>
      <c r="BQ194" s="11">
        <f t="shared" si="431"/>
        <v>100000</v>
      </c>
      <c r="BR194" s="11">
        <f t="shared" si="431"/>
        <v>0</v>
      </c>
      <c r="BS194" s="11">
        <f t="shared" si="431"/>
        <v>0</v>
      </c>
      <c r="BT194" s="11">
        <f t="shared" si="431"/>
        <v>0</v>
      </c>
      <c r="BU194" s="11">
        <f t="shared" si="431"/>
        <v>0</v>
      </c>
      <c r="BV194" s="11">
        <f t="shared" si="431"/>
        <v>100000</v>
      </c>
      <c r="BW194" s="11">
        <f t="shared" si="431"/>
        <v>0</v>
      </c>
      <c r="BX194" s="11">
        <f t="shared" si="431"/>
        <v>0</v>
      </c>
      <c r="BY194" s="11">
        <f t="shared" si="431"/>
        <v>0</v>
      </c>
      <c r="BZ194" s="11">
        <f t="shared" si="431"/>
        <v>0</v>
      </c>
      <c r="CA194" s="11">
        <f t="shared" si="431"/>
        <v>0</v>
      </c>
      <c r="CB194" s="11">
        <f t="shared" si="431"/>
        <v>0</v>
      </c>
      <c r="CC194" s="11">
        <f t="shared" si="431"/>
        <v>0</v>
      </c>
      <c r="CD194" s="11">
        <f t="shared" si="431"/>
        <v>0</v>
      </c>
      <c r="CE194" s="11">
        <f t="shared" si="431"/>
        <v>0</v>
      </c>
      <c r="CF194" s="11">
        <f t="shared" si="431"/>
        <v>0</v>
      </c>
      <c r="CG194" s="11">
        <f t="shared" si="431"/>
        <v>0</v>
      </c>
      <c r="CH194" s="11">
        <f t="shared" si="431"/>
        <v>0</v>
      </c>
      <c r="CI194" s="11">
        <f t="shared" si="431"/>
        <v>0</v>
      </c>
      <c r="CJ194" s="11">
        <f t="shared" si="431"/>
        <v>0</v>
      </c>
      <c r="CK194" s="11">
        <f t="shared" si="431"/>
        <v>0</v>
      </c>
      <c r="CL194" s="11">
        <f t="shared" si="431"/>
        <v>0</v>
      </c>
      <c r="CM194" s="11">
        <f t="shared" si="431"/>
        <v>0</v>
      </c>
      <c r="CN194" s="11">
        <f t="shared" si="431"/>
        <v>0</v>
      </c>
      <c r="CO194" s="11">
        <f t="shared" si="431"/>
        <v>0</v>
      </c>
      <c r="CP194" s="11"/>
      <c r="CQ194" s="11">
        <f t="shared" si="431"/>
        <v>0</v>
      </c>
      <c r="CR194" s="11">
        <f t="shared" si="431"/>
        <v>0</v>
      </c>
      <c r="CS194" s="11">
        <f t="shared" si="431"/>
        <v>0</v>
      </c>
      <c r="CT194" s="11">
        <f t="shared" si="431"/>
        <v>0</v>
      </c>
      <c r="CU194" s="11">
        <f t="shared" si="431"/>
        <v>0</v>
      </c>
      <c r="CV194" s="11">
        <f t="shared" si="431"/>
        <v>0</v>
      </c>
      <c r="CW194" s="11">
        <f t="shared" si="431"/>
        <v>0</v>
      </c>
      <c r="CX194" s="12">
        <f t="shared" si="431"/>
        <v>0</v>
      </c>
    </row>
    <row r="195" spans="1:102" ht="15.75" x14ac:dyDescent="0.25">
      <c r="A195" s="13"/>
      <c r="B195" s="14" t="s">
        <v>1</v>
      </c>
      <c r="C195" s="14" t="s">
        <v>109</v>
      </c>
      <c r="D195" s="15" t="s">
        <v>333</v>
      </c>
      <c r="E195" s="10">
        <f>SUM(F195+CC195+CU195)</f>
        <v>100000</v>
      </c>
      <c r="F195" s="11">
        <f>SUM(G195+BC195)</f>
        <v>100000</v>
      </c>
      <c r="G195" s="11">
        <f>SUM(H195+I195+J195+Q195+T195+U195+V195+AF195+AE195)</f>
        <v>0</v>
      </c>
      <c r="H195" s="11">
        <v>0</v>
      </c>
      <c r="I195" s="11">
        <v>0</v>
      </c>
      <c r="J195" s="11">
        <f>SUM(K195:P195)</f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f t="shared" si="334"/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f t="shared" ref="V195" si="432">SUM(W195:AD195)</f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f>SUM(AG195:BB195)</f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  <c r="AU195" s="11">
        <v>0</v>
      </c>
      <c r="AV195" s="11"/>
      <c r="AW195" s="11"/>
      <c r="AX195" s="11">
        <v>0</v>
      </c>
      <c r="AY195" s="11">
        <v>0</v>
      </c>
      <c r="AZ195" s="11">
        <v>0</v>
      </c>
      <c r="BA195" s="11">
        <v>0</v>
      </c>
      <c r="BB195" s="11">
        <v>0</v>
      </c>
      <c r="BC195" s="11">
        <f>SUM(BD195+BH195+BL195+BN195+BQ195)</f>
        <v>100000</v>
      </c>
      <c r="BD195" s="11">
        <f>SUM(BE195:BG195)</f>
        <v>0</v>
      </c>
      <c r="BE195" s="11">
        <v>0</v>
      </c>
      <c r="BF195" s="11">
        <v>0</v>
      </c>
      <c r="BG195" s="11">
        <v>0</v>
      </c>
      <c r="BH195" s="11">
        <f t="shared" si="336"/>
        <v>0</v>
      </c>
      <c r="BI195" s="11">
        <v>0</v>
      </c>
      <c r="BJ195" s="11">
        <v>0</v>
      </c>
      <c r="BK195" s="11">
        <v>0</v>
      </c>
      <c r="BL195" s="11">
        <v>0</v>
      </c>
      <c r="BM195" s="11">
        <v>0</v>
      </c>
      <c r="BN195" s="11">
        <f t="shared" si="337"/>
        <v>0</v>
      </c>
      <c r="BO195" s="11">
        <v>0</v>
      </c>
      <c r="BP195" s="11">
        <v>0</v>
      </c>
      <c r="BQ195" s="11">
        <f t="shared" si="338"/>
        <v>100000</v>
      </c>
      <c r="BR195" s="11">
        <v>0</v>
      </c>
      <c r="BS195" s="11">
        <v>0</v>
      </c>
      <c r="BT195" s="11">
        <v>0</v>
      </c>
      <c r="BU195" s="11">
        <v>0</v>
      </c>
      <c r="BV195" s="11">
        <v>100000</v>
      </c>
      <c r="BW195" s="11">
        <v>0</v>
      </c>
      <c r="BX195" s="11">
        <v>0</v>
      </c>
      <c r="BY195" s="11">
        <v>0</v>
      </c>
      <c r="BZ195" s="11">
        <v>0</v>
      </c>
      <c r="CA195" s="11">
        <v>0</v>
      </c>
      <c r="CB195" s="11">
        <v>0</v>
      </c>
      <c r="CC195" s="11">
        <f>SUM(CD195+CT195)</f>
        <v>0</v>
      </c>
      <c r="CD195" s="11">
        <f>SUM(CE195+CH195+CM195)</f>
        <v>0</v>
      </c>
      <c r="CE195" s="11">
        <f t="shared" si="339"/>
        <v>0</v>
      </c>
      <c r="CF195" s="11">
        <v>0</v>
      </c>
      <c r="CG195" s="11">
        <v>0</v>
      </c>
      <c r="CH195" s="11">
        <f>SUM(CI195:CL195)</f>
        <v>0</v>
      </c>
      <c r="CI195" s="11">
        <v>0</v>
      </c>
      <c r="CJ195" s="11">
        <v>0</v>
      </c>
      <c r="CK195" s="11">
        <v>0</v>
      </c>
      <c r="CL195" s="11">
        <v>0</v>
      </c>
      <c r="CM195" s="11">
        <f>SUM(CN195:CQ195)</f>
        <v>0</v>
      </c>
      <c r="CN195" s="11">
        <v>0</v>
      </c>
      <c r="CO195" s="11">
        <v>0</v>
      </c>
      <c r="CP195" s="11"/>
      <c r="CQ195" s="11">
        <v>0</v>
      </c>
      <c r="CR195" s="11">
        <v>0</v>
      </c>
      <c r="CS195" s="11">
        <v>0</v>
      </c>
      <c r="CT195" s="11">
        <v>0</v>
      </c>
      <c r="CU195" s="11">
        <f t="shared" si="340"/>
        <v>0</v>
      </c>
      <c r="CV195" s="11">
        <f t="shared" si="341"/>
        <v>0</v>
      </c>
      <c r="CW195" s="11">
        <v>0</v>
      </c>
      <c r="CX195" s="12">
        <v>0</v>
      </c>
    </row>
    <row r="196" spans="1:102" ht="31.5" x14ac:dyDescent="0.25">
      <c r="A196" s="7"/>
      <c r="B196" s="8" t="s">
        <v>334</v>
      </c>
      <c r="C196" s="8" t="s">
        <v>1</v>
      </c>
      <c r="D196" s="9" t="s">
        <v>335</v>
      </c>
      <c r="E196" s="10">
        <f t="shared" ref="E196:AL196" si="433">SUM(E197)</f>
        <v>4586664</v>
      </c>
      <c r="F196" s="11">
        <f t="shared" si="433"/>
        <v>4586664</v>
      </c>
      <c r="G196" s="11">
        <f t="shared" si="433"/>
        <v>0</v>
      </c>
      <c r="H196" s="11">
        <f t="shared" si="433"/>
        <v>0</v>
      </c>
      <c r="I196" s="11">
        <f t="shared" si="433"/>
        <v>0</v>
      </c>
      <c r="J196" s="11">
        <f t="shared" si="433"/>
        <v>0</v>
      </c>
      <c r="K196" s="11">
        <f t="shared" si="433"/>
        <v>0</v>
      </c>
      <c r="L196" s="11">
        <f t="shared" si="433"/>
        <v>0</v>
      </c>
      <c r="M196" s="11">
        <f t="shared" si="433"/>
        <v>0</v>
      </c>
      <c r="N196" s="11">
        <f t="shared" si="433"/>
        <v>0</v>
      </c>
      <c r="O196" s="11">
        <f t="shared" si="433"/>
        <v>0</v>
      </c>
      <c r="P196" s="11">
        <f t="shared" si="433"/>
        <v>0</v>
      </c>
      <c r="Q196" s="11">
        <f t="shared" si="433"/>
        <v>0</v>
      </c>
      <c r="R196" s="11">
        <f t="shared" si="433"/>
        <v>0</v>
      </c>
      <c r="S196" s="11">
        <f t="shared" si="433"/>
        <v>0</v>
      </c>
      <c r="T196" s="11">
        <f t="shared" si="433"/>
        <v>0</v>
      </c>
      <c r="U196" s="11">
        <f t="shared" si="433"/>
        <v>0</v>
      </c>
      <c r="V196" s="11">
        <f t="shared" si="433"/>
        <v>0</v>
      </c>
      <c r="W196" s="11">
        <f t="shared" si="433"/>
        <v>0</v>
      </c>
      <c r="X196" s="11">
        <f t="shared" si="433"/>
        <v>0</v>
      </c>
      <c r="Y196" s="11">
        <f t="shared" si="433"/>
        <v>0</v>
      </c>
      <c r="Z196" s="11">
        <f t="shared" si="433"/>
        <v>0</v>
      </c>
      <c r="AA196" s="11">
        <f t="shared" si="433"/>
        <v>0</v>
      </c>
      <c r="AB196" s="11">
        <f t="shared" si="433"/>
        <v>0</v>
      </c>
      <c r="AC196" s="11">
        <f t="shared" si="433"/>
        <v>0</v>
      </c>
      <c r="AD196" s="11">
        <f t="shared" si="433"/>
        <v>0</v>
      </c>
      <c r="AE196" s="11">
        <f t="shared" si="433"/>
        <v>0</v>
      </c>
      <c r="AF196" s="11">
        <f t="shared" si="433"/>
        <v>0</v>
      </c>
      <c r="AG196" s="11">
        <f t="shared" si="433"/>
        <v>0</v>
      </c>
      <c r="AH196" s="11">
        <f t="shared" si="433"/>
        <v>0</v>
      </c>
      <c r="AI196" s="11">
        <f t="shared" si="433"/>
        <v>0</v>
      </c>
      <c r="AJ196" s="11">
        <f t="shared" si="433"/>
        <v>0</v>
      </c>
      <c r="AK196" s="11">
        <f t="shared" si="433"/>
        <v>0</v>
      </c>
      <c r="AL196" s="11">
        <f t="shared" si="433"/>
        <v>0</v>
      </c>
      <c r="AM196" s="11">
        <f t="shared" ref="AM196:CX196" si="434">SUM(AM197)</f>
        <v>0</v>
      </c>
      <c r="AN196" s="11">
        <f t="shared" si="434"/>
        <v>0</v>
      </c>
      <c r="AO196" s="11">
        <f t="shared" si="434"/>
        <v>0</v>
      </c>
      <c r="AP196" s="11">
        <f t="shared" si="434"/>
        <v>0</v>
      </c>
      <c r="AQ196" s="11">
        <f t="shared" si="434"/>
        <v>0</v>
      </c>
      <c r="AR196" s="11">
        <f t="shared" si="434"/>
        <v>0</v>
      </c>
      <c r="AS196" s="11">
        <f t="shared" si="434"/>
        <v>0</v>
      </c>
      <c r="AT196" s="11">
        <f t="shared" si="434"/>
        <v>0</v>
      </c>
      <c r="AU196" s="11">
        <f t="shared" si="434"/>
        <v>0</v>
      </c>
      <c r="AV196" s="11"/>
      <c r="AW196" s="11"/>
      <c r="AX196" s="11">
        <f t="shared" si="434"/>
        <v>0</v>
      </c>
      <c r="AY196" s="11">
        <f t="shared" si="434"/>
        <v>0</v>
      </c>
      <c r="AZ196" s="11">
        <f t="shared" si="434"/>
        <v>0</v>
      </c>
      <c r="BA196" s="11">
        <f t="shared" si="434"/>
        <v>0</v>
      </c>
      <c r="BB196" s="11">
        <f t="shared" si="434"/>
        <v>0</v>
      </c>
      <c r="BC196" s="11">
        <f t="shared" si="434"/>
        <v>4586664</v>
      </c>
      <c r="BD196" s="11">
        <f t="shared" si="434"/>
        <v>0</v>
      </c>
      <c r="BE196" s="11">
        <f t="shared" si="434"/>
        <v>0</v>
      </c>
      <c r="BF196" s="11">
        <f t="shared" si="434"/>
        <v>0</v>
      </c>
      <c r="BG196" s="11">
        <f t="shared" si="434"/>
        <v>0</v>
      </c>
      <c r="BH196" s="11">
        <f t="shared" si="434"/>
        <v>0</v>
      </c>
      <c r="BI196" s="11">
        <f t="shared" si="434"/>
        <v>0</v>
      </c>
      <c r="BJ196" s="11">
        <f t="shared" si="434"/>
        <v>0</v>
      </c>
      <c r="BK196" s="11">
        <f t="shared" si="434"/>
        <v>0</v>
      </c>
      <c r="BL196" s="11">
        <f t="shared" si="434"/>
        <v>0</v>
      </c>
      <c r="BM196" s="11">
        <f t="shared" si="434"/>
        <v>0</v>
      </c>
      <c r="BN196" s="11">
        <f t="shared" si="434"/>
        <v>0</v>
      </c>
      <c r="BO196" s="11">
        <f t="shared" si="434"/>
        <v>0</v>
      </c>
      <c r="BP196" s="11">
        <f t="shared" si="434"/>
        <v>0</v>
      </c>
      <c r="BQ196" s="11">
        <f t="shared" si="434"/>
        <v>4586664</v>
      </c>
      <c r="BR196" s="11">
        <f t="shared" si="434"/>
        <v>0</v>
      </c>
      <c r="BS196" s="11">
        <f t="shared" si="434"/>
        <v>4586664</v>
      </c>
      <c r="BT196" s="11">
        <f t="shared" si="434"/>
        <v>0</v>
      </c>
      <c r="BU196" s="11">
        <f t="shared" si="434"/>
        <v>0</v>
      </c>
      <c r="BV196" s="11">
        <f t="shared" si="434"/>
        <v>0</v>
      </c>
      <c r="BW196" s="11">
        <f t="shared" si="434"/>
        <v>0</v>
      </c>
      <c r="BX196" s="11">
        <f t="shared" si="434"/>
        <v>0</v>
      </c>
      <c r="BY196" s="11">
        <f t="shared" si="434"/>
        <v>0</v>
      </c>
      <c r="BZ196" s="11">
        <f t="shared" si="434"/>
        <v>0</v>
      </c>
      <c r="CA196" s="11">
        <f t="shared" si="434"/>
        <v>0</v>
      </c>
      <c r="CB196" s="11">
        <f t="shared" si="434"/>
        <v>0</v>
      </c>
      <c r="CC196" s="11">
        <f t="shared" si="434"/>
        <v>0</v>
      </c>
      <c r="CD196" s="11">
        <f t="shared" si="434"/>
        <v>0</v>
      </c>
      <c r="CE196" s="11">
        <f t="shared" si="434"/>
        <v>0</v>
      </c>
      <c r="CF196" s="11">
        <f t="shared" si="434"/>
        <v>0</v>
      </c>
      <c r="CG196" s="11">
        <f t="shared" si="434"/>
        <v>0</v>
      </c>
      <c r="CH196" s="11">
        <f t="shared" si="434"/>
        <v>0</v>
      </c>
      <c r="CI196" s="11">
        <f t="shared" si="434"/>
        <v>0</v>
      </c>
      <c r="CJ196" s="11">
        <f t="shared" si="434"/>
        <v>0</v>
      </c>
      <c r="CK196" s="11">
        <f t="shared" si="434"/>
        <v>0</v>
      </c>
      <c r="CL196" s="11">
        <f t="shared" si="434"/>
        <v>0</v>
      </c>
      <c r="CM196" s="11">
        <f t="shared" si="434"/>
        <v>0</v>
      </c>
      <c r="CN196" s="11">
        <f t="shared" si="434"/>
        <v>0</v>
      </c>
      <c r="CO196" s="11">
        <f t="shared" si="434"/>
        <v>0</v>
      </c>
      <c r="CP196" s="11"/>
      <c r="CQ196" s="11">
        <f t="shared" si="434"/>
        <v>0</v>
      </c>
      <c r="CR196" s="11">
        <f t="shared" si="434"/>
        <v>0</v>
      </c>
      <c r="CS196" s="11">
        <f t="shared" si="434"/>
        <v>0</v>
      </c>
      <c r="CT196" s="11">
        <f t="shared" si="434"/>
        <v>0</v>
      </c>
      <c r="CU196" s="11">
        <f t="shared" si="434"/>
        <v>0</v>
      </c>
      <c r="CV196" s="11">
        <f t="shared" si="434"/>
        <v>0</v>
      </c>
      <c r="CW196" s="11">
        <f t="shared" si="434"/>
        <v>0</v>
      </c>
      <c r="CX196" s="12">
        <f t="shared" si="434"/>
        <v>0</v>
      </c>
    </row>
    <row r="197" spans="1:102" ht="15.75" x14ac:dyDescent="0.25">
      <c r="A197" s="13"/>
      <c r="B197" s="14" t="s">
        <v>1</v>
      </c>
      <c r="C197" s="14" t="s">
        <v>84</v>
      </c>
      <c r="D197" s="15" t="s">
        <v>336</v>
      </c>
      <c r="E197" s="10">
        <f>SUM(F197+CC197+CU197)</f>
        <v>4586664</v>
      </c>
      <c r="F197" s="11">
        <f>SUM(G197+BC197)</f>
        <v>4586664</v>
      </c>
      <c r="G197" s="11">
        <f>SUM(H197+I197+J197+Q197+T197+U197+V197+AF197+AE197)</f>
        <v>0</v>
      </c>
      <c r="H197" s="11">
        <v>0</v>
      </c>
      <c r="I197" s="11">
        <v>0</v>
      </c>
      <c r="J197" s="11">
        <f>SUM(K197:P197)</f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f t="shared" si="334"/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f t="shared" ref="V197" si="435">SUM(W197:AD197)</f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f>SUM(AG197:BB197)</f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1">
        <v>0</v>
      </c>
      <c r="AP197" s="11">
        <v>0</v>
      </c>
      <c r="AQ197" s="11">
        <v>0</v>
      </c>
      <c r="AR197" s="11">
        <v>0</v>
      </c>
      <c r="AS197" s="11">
        <v>0</v>
      </c>
      <c r="AT197" s="11">
        <v>0</v>
      </c>
      <c r="AU197" s="11">
        <v>0</v>
      </c>
      <c r="AV197" s="11"/>
      <c r="AW197" s="11"/>
      <c r="AX197" s="11">
        <v>0</v>
      </c>
      <c r="AY197" s="11">
        <v>0</v>
      </c>
      <c r="AZ197" s="11">
        <v>0</v>
      </c>
      <c r="BA197" s="11">
        <v>0</v>
      </c>
      <c r="BB197" s="11">
        <v>0</v>
      </c>
      <c r="BC197" s="11">
        <f>SUM(BD197+BH197+BL197+BN197+BQ197)</f>
        <v>4586664</v>
      </c>
      <c r="BD197" s="11">
        <f>SUM(BE197:BG197)</f>
        <v>0</v>
      </c>
      <c r="BE197" s="11">
        <v>0</v>
      </c>
      <c r="BF197" s="11">
        <v>0</v>
      </c>
      <c r="BG197" s="11">
        <v>0</v>
      </c>
      <c r="BH197" s="11">
        <f t="shared" si="336"/>
        <v>0</v>
      </c>
      <c r="BI197" s="11">
        <v>0</v>
      </c>
      <c r="BJ197" s="11">
        <v>0</v>
      </c>
      <c r="BK197" s="11">
        <v>0</v>
      </c>
      <c r="BL197" s="11">
        <v>0</v>
      </c>
      <c r="BM197" s="11">
        <v>0</v>
      </c>
      <c r="BN197" s="11">
        <f t="shared" si="337"/>
        <v>0</v>
      </c>
      <c r="BO197" s="11">
        <v>0</v>
      </c>
      <c r="BP197" s="11">
        <v>0</v>
      </c>
      <c r="BQ197" s="11">
        <f t="shared" si="338"/>
        <v>4586664</v>
      </c>
      <c r="BR197" s="11">
        <v>0</v>
      </c>
      <c r="BS197" s="16">
        <v>4586664</v>
      </c>
      <c r="BT197" s="11">
        <v>0</v>
      </c>
      <c r="BU197" s="11">
        <v>0</v>
      </c>
      <c r="BV197" s="11">
        <v>0</v>
      </c>
      <c r="BW197" s="11">
        <v>0</v>
      </c>
      <c r="BX197" s="11">
        <v>0</v>
      </c>
      <c r="BY197" s="11">
        <v>0</v>
      </c>
      <c r="BZ197" s="11">
        <v>0</v>
      </c>
      <c r="CA197" s="11">
        <v>0</v>
      </c>
      <c r="CB197" s="11">
        <v>0</v>
      </c>
      <c r="CC197" s="11">
        <f>SUM(CD197+CT197)</f>
        <v>0</v>
      </c>
      <c r="CD197" s="11">
        <f>SUM(CE197+CH197+CM197)</f>
        <v>0</v>
      </c>
      <c r="CE197" s="11">
        <f t="shared" si="339"/>
        <v>0</v>
      </c>
      <c r="CF197" s="11">
        <v>0</v>
      </c>
      <c r="CG197" s="11">
        <v>0</v>
      </c>
      <c r="CH197" s="11">
        <f>SUM(CI197:CL197)</f>
        <v>0</v>
      </c>
      <c r="CI197" s="11">
        <v>0</v>
      </c>
      <c r="CJ197" s="11">
        <v>0</v>
      </c>
      <c r="CK197" s="11">
        <v>0</v>
      </c>
      <c r="CL197" s="11">
        <v>0</v>
      </c>
      <c r="CM197" s="11">
        <f>SUM(CN197:CQ197)</f>
        <v>0</v>
      </c>
      <c r="CN197" s="11">
        <v>0</v>
      </c>
      <c r="CO197" s="11">
        <v>0</v>
      </c>
      <c r="CP197" s="11"/>
      <c r="CQ197" s="11">
        <v>0</v>
      </c>
      <c r="CR197" s="11">
        <v>0</v>
      </c>
      <c r="CS197" s="11">
        <v>0</v>
      </c>
      <c r="CT197" s="11">
        <v>0</v>
      </c>
      <c r="CU197" s="11">
        <f t="shared" si="340"/>
        <v>0</v>
      </c>
      <c r="CV197" s="11">
        <f t="shared" si="341"/>
        <v>0</v>
      </c>
      <c r="CW197" s="11">
        <v>0</v>
      </c>
      <c r="CX197" s="12">
        <v>0</v>
      </c>
    </row>
    <row r="198" spans="1:102" ht="31.5" x14ac:dyDescent="0.25">
      <c r="A198" s="7"/>
      <c r="B198" s="8" t="s">
        <v>337</v>
      </c>
      <c r="C198" s="8" t="s">
        <v>1</v>
      </c>
      <c r="D198" s="9" t="s">
        <v>338</v>
      </c>
      <c r="E198" s="10">
        <f t="shared" ref="E198:BQ198" si="436">SUM(E199:E206)</f>
        <v>87866659</v>
      </c>
      <c r="F198" s="11">
        <f t="shared" si="436"/>
        <v>87851735</v>
      </c>
      <c r="G198" s="11">
        <f t="shared" si="436"/>
        <v>3743956</v>
      </c>
      <c r="H198" s="11">
        <f t="shared" si="436"/>
        <v>1656236</v>
      </c>
      <c r="I198" s="11">
        <f t="shared" si="436"/>
        <v>238872</v>
      </c>
      <c r="J198" s="11">
        <f t="shared" si="436"/>
        <v>1029608</v>
      </c>
      <c r="K198" s="11">
        <f t="shared" si="436"/>
        <v>0</v>
      </c>
      <c r="L198" s="11">
        <f t="shared" si="436"/>
        <v>0</v>
      </c>
      <c r="M198" s="11">
        <f t="shared" si="436"/>
        <v>0</v>
      </c>
      <c r="N198" s="11">
        <f t="shared" si="436"/>
        <v>0</v>
      </c>
      <c r="O198" s="11">
        <f t="shared" si="436"/>
        <v>316146</v>
      </c>
      <c r="P198" s="11">
        <f t="shared" si="436"/>
        <v>713462</v>
      </c>
      <c r="Q198" s="11">
        <f t="shared" si="436"/>
        <v>0</v>
      </c>
      <c r="R198" s="11">
        <f t="shared" si="436"/>
        <v>0</v>
      </c>
      <c r="S198" s="11">
        <f t="shared" si="436"/>
        <v>0</v>
      </c>
      <c r="T198" s="11">
        <f t="shared" si="436"/>
        <v>0</v>
      </c>
      <c r="U198" s="11">
        <f t="shared" si="436"/>
        <v>62473</v>
      </c>
      <c r="V198" s="11">
        <f t="shared" si="436"/>
        <v>0</v>
      </c>
      <c r="W198" s="11">
        <f t="shared" si="436"/>
        <v>0</v>
      </c>
      <c r="X198" s="11">
        <f t="shared" si="436"/>
        <v>0</v>
      </c>
      <c r="Y198" s="11">
        <f t="shared" si="436"/>
        <v>0</v>
      </c>
      <c r="Z198" s="11">
        <f t="shared" si="436"/>
        <v>0</v>
      </c>
      <c r="AA198" s="11">
        <f t="shared" si="436"/>
        <v>0</v>
      </c>
      <c r="AB198" s="11">
        <f t="shared" si="436"/>
        <v>0</v>
      </c>
      <c r="AC198" s="11">
        <f t="shared" si="436"/>
        <v>0</v>
      </c>
      <c r="AD198" s="11">
        <f t="shared" si="436"/>
        <v>0</v>
      </c>
      <c r="AE198" s="11">
        <f t="shared" si="436"/>
        <v>0</v>
      </c>
      <c r="AF198" s="11">
        <f t="shared" si="436"/>
        <v>756767</v>
      </c>
      <c r="AG198" s="11">
        <f t="shared" si="436"/>
        <v>0</v>
      </c>
      <c r="AH198" s="11">
        <f t="shared" si="436"/>
        <v>0</v>
      </c>
      <c r="AI198" s="11">
        <f t="shared" si="436"/>
        <v>0</v>
      </c>
      <c r="AJ198" s="11">
        <f t="shared" si="436"/>
        <v>0</v>
      </c>
      <c r="AK198" s="11">
        <f t="shared" si="436"/>
        <v>0</v>
      </c>
      <c r="AL198" s="11">
        <f t="shared" si="436"/>
        <v>0</v>
      </c>
      <c r="AM198" s="11">
        <f t="shared" si="436"/>
        <v>0</v>
      </c>
      <c r="AN198" s="11">
        <f t="shared" si="436"/>
        <v>0</v>
      </c>
      <c r="AO198" s="11">
        <f t="shared" si="436"/>
        <v>0</v>
      </c>
      <c r="AP198" s="11">
        <f t="shared" si="436"/>
        <v>0</v>
      </c>
      <c r="AQ198" s="11">
        <f t="shared" si="436"/>
        <v>0</v>
      </c>
      <c r="AR198" s="11">
        <f t="shared" ref="AR198" si="437">SUM(AR199:AR206)</f>
        <v>0</v>
      </c>
      <c r="AS198" s="11">
        <f t="shared" si="436"/>
        <v>0</v>
      </c>
      <c r="AT198" s="11">
        <f t="shared" si="436"/>
        <v>0</v>
      </c>
      <c r="AU198" s="11">
        <f t="shared" si="436"/>
        <v>0</v>
      </c>
      <c r="AV198" s="11"/>
      <c r="AW198" s="11"/>
      <c r="AX198" s="11">
        <f t="shared" si="436"/>
        <v>0</v>
      </c>
      <c r="AY198" s="11">
        <f t="shared" si="436"/>
        <v>23367</v>
      </c>
      <c r="AZ198" s="11">
        <f t="shared" si="436"/>
        <v>0</v>
      </c>
      <c r="BA198" s="11">
        <f t="shared" si="436"/>
        <v>0</v>
      </c>
      <c r="BB198" s="11">
        <f t="shared" si="436"/>
        <v>733400</v>
      </c>
      <c r="BC198" s="11">
        <f t="shared" si="436"/>
        <v>84107779</v>
      </c>
      <c r="BD198" s="11">
        <f t="shared" si="436"/>
        <v>0</v>
      </c>
      <c r="BE198" s="11">
        <f t="shared" si="436"/>
        <v>0</v>
      </c>
      <c r="BF198" s="11">
        <f t="shared" si="436"/>
        <v>0</v>
      </c>
      <c r="BG198" s="11">
        <f t="shared" si="436"/>
        <v>0</v>
      </c>
      <c r="BH198" s="11">
        <f t="shared" si="436"/>
        <v>0</v>
      </c>
      <c r="BI198" s="11">
        <f t="shared" si="436"/>
        <v>0</v>
      </c>
      <c r="BJ198" s="11">
        <f t="shared" si="436"/>
        <v>0</v>
      </c>
      <c r="BK198" s="11">
        <f t="shared" si="436"/>
        <v>0</v>
      </c>
      <c r="BL198" s="11">
        <f t="shared" si="436"/>
        <v>0</v>
      </c>
      <c r="BM198" s="11">
        <f t="shared" si="436"/>
        <v>0</v>
      </c>
      <c r="BN198" s="11">
        <f t="shared" si="436"/>
        <v>0</v>
      </c>
      <c r="BO198" s="11">
        <f t="shared" si="436"/>
        <v>0</v>
      </c>
      <c r="BP198" s="11">
        <f t="shared" ref="BP198" si="438">SUM(BP199:BP206)</f>
        <v>0</v>
      </c>
      <c r="BQ198" s="11">
        <f t="shared" si="436"/>
        <v>84107779</v>
      </c>
      <c r="BR198" s="11">
        <f t="shared" ref="BR198:CX198" si="439">SUM(BR199:BR206)</f>
        <v>0</v>
      </c>
      <c r="BS198" s="11">
        <f t="shared" si="439"/>
        <v>0</v>
      </c>
      <c r="BT198" s="11">
        <f t="shared" si="439"/>
        <v>0</v>
      </c>
      <c r="BU198" s="11">
        <f t="shared" si="439"/>
        <v>0</v>
      </c>
      <c r="BV198" s="11">
        <f t="shared" si="439"/>
        <v>0</v>
      </c>
      <c r="BW198" s="11">
        <f t="shared" si="439"/>
        <v>0</v>
      </c>
      <c r="BX198" s="11">
        <f t="shared" si="439"/>
        <v>0</v>
      </c>
      <c r="BY198" s="11">
        <f t="shared" si="439"/>
        <v>0</v>
      </c>
      <c r="BZ198" s="11">
        <f t="shared" si="439"/>
        <v>339880</v>
      </c>
      <c r="CA198" s="11">
        <f t="shared" si="439"/>
        <v>75441733</v>
      </c>
      <c r="CB198" s="11">
        <f t="shared" si="439"/>
        <v>8326166</v>
      </c>
      <c r="CC198" s="11">
        <f t="shared" si="439"/>
        <v>14924</v>
      </c>
      <c r="CD198" s="11">
        <f t="shared" si="439"/>
        <v>14924</v>
      </c>
      <c r="CE198" s="11">
        <f t="shared" si="439"/>
        <v>14924</v>
      </c>
      <c r="CF198" s="11">
        <f t="shared" si="439"/>
        <v>0</v>
      </c>
      <c r="CG198" s="11">
        <f t="shared" si="439"/>
        <v>14924</v>
      </c>
      <c r="CH198" s="11">
        <f t="shared" si="439"/>
        <v>0</v>
      </c>
      <c r="CI198" s="11">
        <f t="shared" si="439"/>
        <v>0</v>
      </c>
      <c r="CJ198" s="11">
        <f t="shared" si="439"/>
        <v>0</v>
      </c>
      <c r="CK198" s="11">
        <f t="shared" si="439"/>
        <v>0</v>
      </c>
      <c r="CL198" s="11">
        <f t="shared" si="439"/>
        <v>0</v>
      </c>
      <c r="CM198" s="11">
        <f t="shared" si="439"/>
        <v>0</v>
      </c>
      <c r="CN198" s="11">
        <f t="shared" si="439"/>
        <v>0</v>
      </c>
      <c r="CO198" s="11">
        <f t="shared" si="439"/>
        <v>0</v>
      </c>
      <c r="CP198" s="11"/>
      <c r="CQ198" s="11">
        <f t="shared" si="439"/>
        <v>0</v>
      </c>
      <c r="CR198" s="11">
        <f t="shared" si="439"/>
        <v>0</v>
      </c>
      <c r="CS198" s="11">
        <f t="shared" si="439"/>
        <v>0</v>
      </c>
      <c r="CT198" s="11">
        <f t="shared" si="439"/>
        <v>0</v>
      </c>
      <c r="CU198" s="11">
        <f t="shared" si="439"/>
        <v>0</v>
      </c>
      <c r="CV198" s="11">
        <f t="shared" si="439"/>
        <v>0</v>
      </c>
      <c r="CW198" s="11">
        <f t="shared" si="439"/>
        <v>0</v>
      </c>
      <c r="CX198" s="12">
        <f t="shared" si="439"/>
        <v>0</v>
      </c>
    </row>
    <row r="199" spans="1:102" ht="31.5" x14ac:dyDescent="0.25">
      <c r="A199" s="13" t="s">
        <v>1</v>
      </c>
      <c r="B199" s="14" t="s">
        <v>1</v>
      </c>
      <c r="C199" s="14" t="s">
        <v>74</v>
      </c>
      <c r="D199" s="15" t="s">
        <v>339</v>
      </c>
      <c r="E199" s="10">
        <f t="shared" ref="E199:E206" si="440">SUM(F199+CC199+CU199)</f>
        <v>1147194</v>
      </c>
      <c r="F199" s="11">
        <f t="shared" ref="F199:F206" si="441">SUM(G199+BC199)</f>
        <v>1147194</v>
      </c>
      <c r="G199" s="11">
        <f t="shared" ref="G199:G206" si="442">SUM(H199+I199+J199+Q199+T199+U199+V199+AF199+AE199)</f>
        <v>774783</v>
      </c>
      <c r="H199" s="16">
        <f>505282+26948</f>
        <v>532230</v>
      </c>
      <c r="I199" s="16">
        <f>122471+6737</f>
        <v>129208</v>
      </c>
      <c r="J199" s="11">
        <f t="shared" ref="J199:J206" si="443">SUM(K199:P199)</f>
        <v>113345</v>
      </c>
      <c r="K199" s="11">
        <v>0</v>
      </c>
      <c r="L199" s="11">
        <v>0</v>
      </c>
      <c r="M199" s="11">
        <v>0</v>
      </c>
      <c r="N199" s="11">
        <v>0</v>
      </c>
      <c r="O199" s="16">
        <v>113345</v>
      </c>
      <c r="P199" s="16"/>
      <c r="Q199" s="11">
        <f t="shared" si="334"/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f t="shared" ref="V199:V206" si="444">SUM(W199:AD199)</f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6"/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s="11">
        <v>0</v>
      </c>
      <c r="AS199" s="11">
        <v>0</v>
      </c>
      <c r="AT199" s="11">
        <v>0</v>
      </c>
      <c r="AU199" s="11">
        <v>0</v>
      </c>
      <c r="AV199" s="11"/>
      <c r="AW199" s="11"/>
      <c r="AX199" s="11">
        <v>0</v>
      </c>
      <c r="AY199" s="11">
        <v>0</v>
      </c>
      <c r="AZ199" s="11">
        <v>0</v>
      </c>
      <c r="BA199" s="11">
        <v>0</v>
      </c>
      <c r="BB199" s="11">
        <v>0</v>
      </c>
      <c r="BC199" s="11">
        <f t="shared" ref="BC199:BC206" si="445">SUM(BD199+BH199+BL199+BN199+BQ199)</f>
        <v>372411</v>
      </c>
      <c r="BD199" s="11">
        <f t="shared" ref="BD199:BD206" si="446">SUM(BE199:BG199)</f>
        <v>0</v>
      </c>
      <c r="BE199" s="11">
        <v>0</v>
      </c>
      <c r="BF199" s="11">
        <v>0</v>
      </c>
      <c r="BG199" s="11">
        <v>0</v>
      </c>
      <c r="BH199" s="11">
        <f t="shared" si="336"/>
        <v>0</v>
      </c>
      <c r="BI199" s="11">
        <v>0</v>
      </c>
      <c r="BJ199" s="11">
        <v>0</v>
      </c>
      <c r="BK199" s="11">
        <v>0</v>
      </c>
      <c r="BL199" s="11">
        <v>0</v>
      </c>
      <c r="BM199" s="11">
        <v>0</v>
      </c>
      <c r="BN199" s="11">
        <f t="shared" si="337"/>
        <v>0</v>
      </c>
      <c r="BO199" s="11">
        <v>0</v>
      </c>
      <c r="BP199" s="11">
        <v>0</v>
      </c>
      <c r="BQ199" s="11">
        <f t="shared" si="338"/>
        <v>372411</v>
      </c>
      <c r="BR199" s="11">
        <v>0</v>
      </c>
      <c r="BS199" s="11">
        <v>0</v>
      </c>
      <c r="BT199" s="11">
        <v>0</v>
      </c>
      <c r="BU199" s="11">
        <v>0</v>
      </c>
      <c r="BV199" s="11">
        <v>0</v>
      </c>
      <c r="BW199" s="11">
        <v>0</v>
      </c>
      <c r="BX199" s="11">
        <v>0</v>
      </c>
      <c r="BY199" s="11">
        <v>0</v>
      </c>
      <c r="BZ199" s="16"/>
      <c r="CA199" s="16">
        <v>372411</v>
      </c>
      <c r="CB199" s="16"/>
      <c r="CC199" s="11">
        <f t="shared" ref="CC199:CC206" si="447">SUM(CD199+CT199)</f>
        <v>0</v>
      </c>
      <c r="CD199" s="11">
        <f t="shared" ref="CD199:CD206" si="448">SUM(CE199+CH199+CM199)</f>
        <v>0</v>
      </c>
      <c r="CE199" s="11">
        <f t="shared" si="339"/>
        <v>0</v>
      </c>
      <c r="CF199" s="11">
        <v>0</v>
      </c>
      <c r="CG199" s="11">
        <v>0</v>
      </c>
      <c r="CH199" s="11">
        <f t="shared" ref="CH199:CH206" si="449">SUM(CI199:CL199)</f>
        <v>0</v>
      </c>
      <c r="CI199" s="11">
        <v>0</v>
      </c>
      <c r="CJ199" s="11">
        <v>0</v>
      </c>
      <c r="CK199" s="11">
        <v>0</v>
      </c>
      <c r="CL199" s="11">
        <v>0</v>
      </c>
      <c r="CM199" s="11">
        <f t="shared" ref="CM199:CM206" si="450">SUM(CN199:CQ199)</f>
        <v>0</v>
      </c>
      <c r="CN199" s="11">
        <v>0</v>
      </c>
      <c r="CO199" s="11">
        <v>0</v>
      </c>
      <c r="CP199" s="11"/>
      <c r="CQ199" s="11">
        <v>0</v>
      </c>
      <c r="CR199" s="11">
        <v>0</v>
      </c>
      <c r="CS199" s="11">
        <v>0</v>
      </c>
      <c r="CT199" s="11">
        <v>0</v>
      </c>
      <c r="CU199" s="11">
        <f t="shared" si="340"/>
        <v>0</v>
      </c>
      <c r="CV199" s="11">
        <f t="shared" si="341"/>
        <v>0</v>
      </c>
      <c r="CW199" s="11">
        <v>0</v>
      </c>
      <c r="CX199" s="12">
        <v>0</v>
      </c>
    </row>
    <row r="200" spans="1:102" ht="31.5" x14ac:dyDescent="0.25">
      <c r="A200" s="13" t="s">
        <v>1</v>
      </c>
      <c r="B200" s="14" t="s">
        <v>1</v>
      </c>
      <c r="C200" s="14" t="s">
        <v>70</v>
      </c>
      <c r="D200" s="15" t="s">
        <v>340</v>
      </c>
      <c r="E200" s="10">
        <f t="shared" si="440"/>
        <v>1595743</v>
      </c>
      <c r="F200" s="11">
        <f t="shared" si="441"/>
        <v>1580819</v>
      </c>
      <c r="G200" s="11">
        <f t="shared" si="442"/>
        <v>822977</v>
      </c>
      <c r="H200" s="16">
        <f>447538+23869+22308</f>
        <v>493715</v>
      </c>
      <c r="I200" s="16">
        <f>52931+5967+5090</f>
        <v>63988</v>
      </c>
      <c r="J200" s="11">
        <f t="shared" si="443"/>
        <v>202801</v>
      </c>
      <c r="K200" s="11">
        <v>0</v>
      </c>
      <c r="L200" s="11">
        <v>0</v>
      </c>
      <c r="M200" s="11">
        <v>0</v>
      </c>
      <c r="N200" s="11">
        <v>0</v>
      </c>
      <c r="O200" s="16">
        <v>202801</v>
      </c>
      <c r="P200" s="11">
        <v>0</v>
      </c>
      <c r="Q200" s="11">
        <f t="shared" si="334"/>
        <v>0</v>
      </c>
      <c r="R200" s="11">
        <v>0</v>
      </c>
      <c r="S200" s="11">
        <v>0</v>
      </c>
      <c r="T200" s="11">
        <v>0</v>
      </c>
      <c r="U200" s="11">
        <v>62473</v>
      </c>
      <c r="V200" s="11">
        <f t="shared" si="444"/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6"/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11">
        <v>0</v>
      </c>
      <c r="AV200" s="11"/>
      <c r="AW200" s="11"/>
      <c r="AX200" s="11">
        <v>0</v>
      </c>
      <c r="AY200" s="11">
        <v>0</v>
      </c>
      <c r="AZ200" s="11">
        <v>0</v>
      </c>
      <c r="BA200" s="11">
        <v>0</v>
      </c>
      <c r="BB200" s="11">
        <v>0</v>
      </c>
      <c r="BC200" s="11">
        <f t="shared" si="445"/>
        <v>757842</v>
      </c>
      <c r="BD200" s="11">
        <f t="shared" si="446"/>
        <v>0</v>
      </c>
      <c r="BE200" s="11">
        <v>0</v>
      </c>
      <c r="BF200" s="11">
        <v>0</v>
      </c>
      <c r="BG200" s="11">
        <v>0</v>
      </c>
      <c r="BH200" s="11">
        <f t="shared" si="336"/>
        <v>0</v>
      </c>
      <c r="BI200" s="11">
        <v>0</v>
      </c>
      <c r="BJ200" s="11">
        <v>0</v>
      </c>
      <c r="BK200" s="11">
        <v>0</v>
      </c>
      <c r="BL200" s="11">
        <v>0</v>
      </c>
      <c r="BM200" s="11">
        <v>0</v>
      </c>
      <c r="BN200" s="11">
        <f t="shared" si="337"/>
        <v>0</v>
      </c>
      <c r="BO200" s="11">
        <v>0</v>
      </c>
      <c r="BP200" s="11">
        <v>0</v>
      </c>
      <c r="BQ200" s="11">
        <f t="shared" si="338"/>
        <v>757842</v>
      </c>
      <c r="BR200" s="11">
        <v>0</v>
      </c>
      <c r="BS200" s="11">
        <v>0</v>
      </c>
      <c r="BT200" s="11">
        <v>0</v>
      </c>
      <c r="BU200" s="11">
        <v>0</v>
      </c>
      <c r="BV200" s="11">
        <v>0</v>
      </c>
      <c r="BW200" s="11">
        <v>0</v>
      </c>
      <c r="BX200" s="11">
        <v>0</v>
      </c>
      <c r="BY200" s="11">
        <v>0</v>
      </c>
      <c r="BZ200" s="16"/>
      <c r="CA200" s="16">
        <v>757842</v>
      </c>
      <c r="CB200" s="16"/>
      <c r="CC200" s="11">
        <f t="shared" si="447"/>
        <v>14924</v>
      </c>
      <c r="CD200" s="11">
        <f t="shared" si="448"/>
        <v>14924</v>
      </c>
      <c r="CE200" s="11">
        <f t="shared" si="339"/>
        <v>14924</v>
      </c>
      <c r="CF200" s="11">
        <v>0</v>
      </c>
      <c r="CG200" s="11">
        <f>42322-27398</f>
        <v>14924</v>
      </c>
      <c r="CH200" s="11">
        <f t="shared" si="449"/>
        <v>0</v>
      </c>
      <c r="CI200" s="11">
        <v>0</v>
      </c>
      <c r="CJ200" s="11">
        <v>0</v>
      </c>
      <c r="CK200" s="11">
        <v>0</v>
      </c>
      <c r="CL200" s="11">
        <v>0</v>
      </c>
      <c r="CM200" s="11">
        <f t="shared" si="450"/>
        <v>0</v>
      </c>
      <c r="CN200" s="11">
        <v>0</v>
      </c>
      <c r="CO200" s="11">
        <v>0</v>
      </c>
      <c r="CP200" s="11"/>
      <c r="CQ200" s="11">
        <v>0</v>
      </c>
      <c r="CR200" s="11">
        <v>0</v>
      </c>
      <c r="CS200" s="11">
        <v>0</v>
      </c>
      <c r="CT200" s="11">
        <v>0</v>
      </c>
      <c r="CU200" s="11">
        <f t="shared" si="340"/>
        <v>0</v>
      </c>
      <c r="CV200" s="11">
        <f t="shared" si="341"/>
        <v>0</v>
      </c>
      <c r="CW200" s="11">
        <v>0</v>
      </c>
      <c r="CX200" s="12">
        <v>0</v>
      </c>
    </row>
    <row r="201" spans="1:102" ht="31.5" x14ac:dyDescent="0.25">
      <c r="A201" s="13" t="s">
        <v>1</v>
      </c>
      <c r="B201" s="14" t="s">
        <v>1</v>
      </c>
      <c r="C201" s="14" t="s">
        <v>84</v>
      </c>
      <c r="D201" s="15" t="s">
        <v>341</v>
      </c>
      <c r="E201" s="10">
        <f t="shared" si="440"/>
        <v>16077617</v>
      </c>
      <c r="F201" s="11">
        <f t="shared" si="441"/>
        <v>16077617</v>
      </c>
      <c r="G201" s="11">
        <f t="shared" si="442"/>
        <v>1433400</v>
      </c>
      <c r="H201" s="16"/>
      <c r="I201" s="16"/>
      <c r="J201" s="11">
        <f t="shared" si="443"/>
        <v>700000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f>0+700000</f>
        <v>700000</v>
      </c>
      <c r="Q201" s="11">
        <f>SUM(R201:S201)</f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f t="shared" si="444"/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6">
        <v>733400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  <c r="AU201" s="11">
        <v>0</v>
      </c>
      <c r="AV201" s="11"/>
      <c r="AW201" s="11"/>
      <c r="AX201" s="11">
        <v>0</v>
      </c>
      <c r="AY201" s="11">
        <v>0</v>
      </c>
      <c r="AZ201" s="11">
        <v>0</v>
      </c>
      <c r="BA201" s="11">
        <v>0</v>
      </c>
      <c r="BB201" s="16">
        <v>733400</v>
      </c>
      <c r="BC201" s="11">
        <f t="shared" si="445"/>
        <v>14644217</v>
      </c>
      <c r="BD201" s="11">
        <f t="shared" si="446"/>
        <v>0</v>
      </c>
      <c r="BE201" s="11">
        <v>0</v>
      </c>
      <c r="BF201" s="11">
        <v>0</v>
      </c>
      <c r="BG201" s="11">
        <v>0</v>
      </c>
      <c r="BH201" s="11">
        <f>SUM(BJ201:BK201)</f>
        <v>0</v>
      </c>
      <c r="BI201" s="11">
        <v>0</v>
      </c>
      <c r="BJ201" s="11">
        <v>0</v>
      </c>
      <c r="BK201" s="11">
        <v>0</v>
      </c>
      <c r="BL201" s="11">
        <v>0</v>
      </c>
      <c r="BM201" s="11">
        <v>0</v>
      </c>
      <c r="BN201" s="11">
        <f>SUM(BO201)</f>
        <v>0</v>
      </c>
      <c r="BO201" s="11">
        <v>0</v>
      </c>
      <c r="BP201" s="11">
        <v>0</v>
      </c>
      <c r="BQ201" s="11">
        <f>SUM(BR201:CB201)</f>
        <v>14644217</v>
      </c>
      <c r="BR201" s="11">
        <v>0</v>
      </c>
      <c r="BS201" s="11">
        <v>0</v>
      </c>
      <c r="BT201" s="11">
        <v>0</v>
      </c>
      <c r="BU201" s="11">
        <v>0</v>
      </c>
      <c r="BV201" s="11">
        <v>0</v>
      </c>
      <c r="BW201" s="11">
        <v>0</v>
      </c>
      <c r="BX201" s="11">
        <v>0</v>
      </c>
      <c r="BY201" s="11">
        <v>0</v>
      </c>
      <c r="BZ201" s="16">
        <v>339880</v>
      </c>
      <c r="CA201" s="16">
        <f>7579580-511787</f>
        <v>7067793</v>
      </c>
      <c r="CB201" s="16">
        <v>7236544</v>
      </c>
      <c r="CC201" s="11">
        <f t="shared" si="447"/>
        <v>0</v>
      </c>
      <c r="CD201" s="11">
        <f t="shared" si="448"/>
        <v>0</v>
      </c>
      <c r="CE201" s="11">
        <f>SUM(CF201:CG201)</f>
        <v>0</v>
      </c>
      <c r="CF201" s="11">
        <v>0</v>
      </c>
      <c r="CG201" s="11">
        <v>0</v>
      </c>
      <c r="CH201" s="11">
        <f t="shared" si="449"/>
        <v>0</v>
      </c>
      <c r="CI201" s="11">
        <v>0</v>
      </c>
      <c r="CJ201" s="11">
        <v>0</v>
      </c>
      <c r="CK201" s="11">
        <v>0</v>
      </c>
      <c r="CL201" s="11">
        <v>0</v>
      </c>
      <c r="CM201" s="11">
        <f t="shared" si="450"/>
        <v>0</v>
      </c>
      <c r="CN201" s="11">
        <v>0</v>
      </c>
      <c r="CO201" s="11">
        <v>0</v>
      </c>
      <c r="CP201" s="11"/>
      <c r="CQ201" s="11">
        <v>0</v>
      </c>
      <c r="CR201" s="11">
        <v>0</v>
      </c>
      <c r="CS201" s="11">
        <v>0</v>
      </c>
      <c r="CT201" s="11">
        <v>0</v>
      </c>
      <c r="CU201" s="11">
        <f>SUM(CV201)</f>
        <v>0</v>
      </c>
      <c r="CV201" s="11">
        <f>SUM(CW201:CX201)</f>
        <v>0</v>
      </c>
      <c r="CW201" s="11">
        <v>0</v>
      </c>
      <c r="CX201" s="12">
        <v>0</v>
      </c>
    </row>
    <row r="202" spans="1:102" ht="15.75" x14ac:dyDescent="0.25">
      <c r="A202" s="13" t="s">
        <v>1</v>
      </c>
      <c r="B202" s="14" t="s">
        <v>1</v>
      </c>
      <c r="C202" s="14" t="s">
        <v>84</v>
      </c>
      <c r="D202" s="15" t="s">
        <v>342</v>
      </c>
      <c r="E202" s="10">
        <f t="shared" si="440"/>
        <v>61272667</v>
      </c>
      <c r="F202" s="11">
        <f t="shared" si="441"/>
        <v>61272667</v>
      </c>
      <c r="G202" s="11">
        <f t="shared" si="442"/>
        <v>0</v>
      </c>
      <c r="H202" s="16"/>
      <c r="I202" s="16"/>
      <c r="J202" s="11">
        <f t="shared" si="443"/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f t="shared" si="334"/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f t="shared" si="444"/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6"/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  <c r="AU202" s="11">
        <v>0</v>
      </c>
      <c r="AV202" s="11"/>
      <c r="AW202" s="11"/>
      <c r="AX202" s="11">
        <v>0</v>
      </c>
      <c r="AY202" s="11">
        <v>0</v>
      </c>
      <c r="AZ202" s="11">
        <v>0</v>
      </c>
      <c r="BA202" s="11">
        <v>0</v>
      </c>
      <c r="BB202" s="11">
        <v>0</v>
      </c>
      <c r="BC202" s="11">
        <f t="shared" si="445"/>
        <v>61272667</v>
      </c>
      <c r="BD202" s="11">
        <f t="shared" si="446"/>
        <v>0</v>
      </c>
      <c r="BE202" s="11">
        <v>0</v>
      </c>
      <c r="BF202" s="11">
        <v>0</v>
      </c>
      <c r="BG202" s="11">
        <v>0</v>
      </c>
      <c r="BH202" s="11">
        <f t="shared" si="336"/>
        <v>0</v>
      </c>
      <c r="BI202" s="11">
        <v>0</v>
      </c>
      <c r="BJ202" s="11">
        <v>0</v>
      </c>
      <c r="BK202" s="11">
        <v>0</v>
      </c>
      <c r="BL202" s="11">
        <v>0</v>
      </c>
      <c r="BM202" s="11">
        <v>0</v>
      </c>
      <c r="BN202" s="11">
        <f t="shared" si="337"/>
        <v>0</v>
      </c>
      <c r="BO202" s="11">
        <v>0</v>
      </c>
      <c r="BP202" s="11">
        <v>0</v>
      </c>
      <c r="BQ202" s="11">
        <f t="shared" si="338"/>
        <v>61272667</v>
      </c>
      <c r="BR202" s="11">
        <v>0</v>
      </c>
      <c r="BS202" s="11">
        <v>0</v>
      </c>
      <c r="BT202" s="11">
        <v>0</v>
      </c>
      <c r="BU202" s="11">
        <v>0</v>
      </c>
      <c r="BV202" s="11">
        <v>0</v>
      </c>
      <c r="BW202" s="11">
        <v>0</v>
      </c>
      <c r="BX202" s="11">
        <v>0</v>
      </c>
      <c r="BY202" s="11">
        <v>0</v>
      </c>
      <c r="BZ202" s="16"/>
      <c r="CA202" s="16">
        <f>52833879+8221102</f>
        <v>61054981</v>
      </c>
      <c r="CB202" s="16">
        <v>217686</v>
      </c>
      <c r="CC202" s="11">
        <f t="shared" si="447"/>
        <v>0</v>
      </c>
      <c r="CD202" s="11">
        <f t="shared" si="448"/>
        <v>0</v>
      </c>
      <c r="CE202" s="11">
        <f t="shared" si="339"/>
        <v>0</v>
      </c>
      <c r="CF202" s="11">
        <v>0</v>
      </c>
      <c r="CG202" s="11">
        <v>0</v>
      </c>
      <c r="CH202" s="11">
        <f t="shared" si="449"/>
        <v>0</v>
      </c>
      <c r="CI202" s="11">
        <v>0</v>
      </c>
      <c r="CJ202" s="11">
        <v>0</v>
      </c>
      <c r="CK202" s="11">
        <v>0</v>
      </c>
      <c r="CL202" s="11">
        <v>0</v>
      </c>
      <c r="CM202" s="11">
        <f t="shared" si="450"/>
        <v>0</v>
      </c>
      <c r="CN202" s="11">
        <v>0</v>
      </c>
      <c r="CO202" s="11">
        <v>0</v>
      </c>
      <c r="CP202" s="11"/>
      <c r="CQ202" s="11">
        <v>0</v>
      </c>
      <c r="CR202" s="11">
        <v>0</v>
      </c>
      <c r="CS202" s="11">
        <v>0</v>
      </c>
      <c r="CT202" s="11">
        <v>0</v>
      </c>
      <c r="CU202" s="11">
        <f t="shared" si="340"/>
        <v>0</v>
      </c>
      <c r="CV202" s="11">
        <f t="shared" si="341"/>
        <v>0</v>
      </c>
      <c r="CW202" s="11">
        <v>0</v>
      </c>
      <c r="CX202" s="12">
        <v>0</v>
      </c>
    </row>
    <row r="203" spans="1:102" ht="31.5" x14ac:dyDescent="0.25">
      <c r="A203" s="13" t="s">
        <v>1</v>
      </c>
      <c r="B203" s="14" t="s">
        <v>1</v>
      </c>
      <c r="C203" s="14" t="s">
        <v>84</v>
      </c>
      <c r="D203" s="15" t="s">
        <v>343</v>
      </c>
      <c r="E203" s="10">
        <f t="shared" si="440"/>
        <v>6188706</v>
      </c>
      <c r="F203" s="11">
        <f t="shared" si="441"/>
        <v>6188706</v>
      </c>
      <c r="G203" s="11">
        <f t="shared" si="442"/>
        <v>0</v>
      </c>
      <c r="H203" s="16"/>
      <c r="I203" s="16"/>
      <c r="J203" s="11">
        <f t="shared" si="443"/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f>SUM(R203:S203)</f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f t="shared" si="444"/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6"/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0</v>
      </c>
      <c r="AT203" s="11">
        <v>0</v>
      </c>
      <c r="AU203" s="11">
        <v>0</v>
      </c>
      <c r="AV203" s="11"/>
      <c r="AW203" s="11"/>
      <c r="AX203" s="11">
        <v>0</v>
      </c>
      <c r="AY203" s="11">
        <v>0</v>
      </c>
      <c r="AZ203" s="11">
        <v>0</v>
      </c>
      <c r="BA203" s="11">
        <v>0</v>
      </c>
      <c r="BB203" s="11">
        <v>0</v>
      </c>
      <c r="BC203" s="11">
        <f t="shared" si="445"/>
        <v>6188706</v>
      </c>
      <c r="BD203" s="11">
        <f t="shared" si="446"/>
        <v>0</v>
      </c>
      <c r="BE203" s="11">
        <v>0</v>
      </c>
      <c r="BF203" s="11">
        <v>0</v>
      </c>
      <c r="BG203" s="11">
        <v>0</v>
      </c>
      <c r="BH203" s="11">
        <f>SUM(BJ203:BK203)</f>
        <v>0</v>
      </c>
      <c r="BI203" s="11">
        <v>0</v>
      </c>
      <c r="BJ203" s="11">
        <v>0</v>
      </c>
      <c r="BK203" s="11">
        <v>0</v>
      </c>
      <c r="BL203" s="11">
        <v>0</v>
      </c>
      <c r="BM203" s="11">
        <v>0</v>
      </c>
      <c r="BN203" s="11">
        <f>SUM(BO203)</f>
        <v>0</v>
      </c>
      <c r="BO203" s="11">
        <v>0</v>
      </c>
      <c r="BP203" s="11">
        <v>0</v>
      </c>
      <c r="BQ203" s="11">
        <f>SUM(BR203:CB203)</f>
        <v>6188706</v>
      </c>
      <c r="BR203" s="11">
        <v>0</v>
      </c>
      <c r="BS203" s="11">
        <v>0</v>
      </c>
      <c r="BT203" s="11">
        <v>0</v>
      </c>
      <c r="BU203" s="11">
        <v>0</v>
      </c>
      <c r="BV203" s="11">
        <v>0</v>
      </c>
      <c r="BW203" s="11">
        <v>0</v>
      </c>
      <c r="BX203" s="11">
        <v>0</v>
      </c>
      <c r="BY203" s="11">
        <v>0</v>
      </c>
      <c r="BZ203" s="16"/>
      <c r="CA203" s="16">
        <f>6936360-747654</f>
        <v>6188706</v>
      </c>
      <c r="CB203" s="16">
        <v>0</v>
      </c>
      <c r="CC203" s="11">
        <f t="shared" si="447"/>
        <v>0</v>
      </c>
      <c r="CD203" s="11">
        <f t="shared" si="448"/>
        <v>0</v>
      </c>
      <c r="CE203" s="11">
        <f>SUM(CF203:CG203)</f>
        <v>0</v>
      </c>
      <c r="CF203" s="11">
        <v>0</v>
      </c>
      <c r="CG203" s="11">
        <v>0</v>
      </c>
      <c r="CH203" s="11">
        <f t="shared" si="449"/>
        <v>0</v>
      </c>
      <c r="CI203" s="11">
        <v>0</v>
      </c>
      <c r="CJ203" s="11">
        <v>0</v>
      </c>
      <c r="CK203" s="11">
        <v>0</v>
      </c>
      <c r="CL203" s="11">
        <v>0</v>
      </c>
      <c r="CM203" s="11">
        <f t="shared" si="450"/>
        <v>0</v>
      </c>
      <c r="CN203" s="11">
        <v>0</v>
      </c>
      <c r="CO203" s="11">
        <v>0</v>
      </c>
      <c r="CP203" s="11"/>
      <c r="CQ203" s="11">
        <v>0</v>
      </c>
      <c r="CR203" s="11">
        <v>0</v>
      </c>
      <c r="CS203" s="11">
        <v>0</v>
      </c>
      <c r="CT203" s="11">
        <v>0</v>
      </c>
      <c r="CU203" s="11">
        <f>SUM(CV203)</f>
        <v>0</v>
      </c>
      <c r="CV203" s="11">
        <f>SUM(CW203:CX203)</f>
        <v>0</v>
      </c>
      <c r="CW203" s="11">
        <v>0</v>
      </c>
      <c r="CX203" s="12">
        <v>0</v>
      </c>
    </row>
    <row r="204" spans="1:102" ht="15.75" x14ac:dyDescent="0.25">
      <c r="A204" s="13" t="s">
        <v>1</v>
      </c>
      <c r="B204" s="14" t="s">
        <v>1</v>
      </c>
      <c r="C204" s="14" t="s">
        <v>84</v>
      </c>
      <c r="D204" s="15" t="s">
        <v>344</v>
      </c>
      <c r="E204" s="10">
        <f t="shared" si="440"/>
        <v>251936</v>
      </c>
      <c r="F204" s="11">
        <f t="shared" si="441"/>
        <v>251936</v>
      </c>
      <c r="G204" s="11">
        <f t="shared" si="442"/>
        <v>0</v>
      </c>
      <c r="H204" s="16"/>
      <c r="I204" s="16"/>
      <c r="J204" s="11">
        <f t="shared" si="443"/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f>SUM(R204:S204)</f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f t="shared" si="444"/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6"/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  <c r="AU204" s="11">
        <v>0</v>
      </c>
      <c r="AV204" s="11"/>
      <c r="AW204" s="11"/>
      <c r="AX204" s="11">
        <v>0</v>
      </c>
      <c r="AY204" s="11">
        <v>0</v>
      </c>
      <c r="AZ204" s="11">
        <v>0</v>
      </c>
      <c r="BA204" s="11">
        <v>0</v>
      </c>
      <c r="BB204" s="11">
        <v>0</v>
      </c>
      <c r="BC204" s="11">
        <f t="shared" si="445"/>
        <v>251936</v>
      </c>
      <c r="BD204" s="11">
        <f t="shared" si="446"/>
        <v>0</v>
      </c>
      <c r="BE204" s="11">
        <v>0</v>
      </c>
      <c r="BF204" s="11">
        <v>0</v>
      </c>
      <c r="BG204" s="11">
        <v>0</v>
      </c>
      <c r="BH204" s="11">
        <f>SUM(BJ204:BK204)</f>
        <v>0</v>
      </c>
      <c r="BI204" s="11">
        <v>0</v>
      </c>
      <c r="BJ204" s="11">
        <v>0</v>
      </c>
      <c r="BK204" s="11">
        <v>0</v>
      </c>
      <c r="BL204" s="11">
        <v>0</v>
      </c>
      <c r="BM204" s="11">
        <v>0</v>
      </c>
      <c r="BN204" s="11">
        <f>SUM(BO204)</f>
        <v>0</v>
      </c>
      <c r="BO204" s="11">
        <v>0</v>
      </c>
      <c r="BP204" s="11">
        <v>0</v>
      </c>
      <c r="BQ204" s="11">
        <f>SUM(BR204:CB204)</f>
        <v>251936</v>
      </c>
      <c r="BR204" s="11">
        <v>0</v>
      </c>
      <c r="BS204" s="11">
        <v>0</v>
      </c>
      <c r="BT204" s="11">
        <v>0</v>
      </c>
      <c r="BU204" s="11">
        <v>0</v>
      </c>
      <c r="BV204" s="11">
        <v>0</v>
      </c>
      <c r="BW204" s="11">
        <v>0</v>
      </c>
      <c r="BX204" s="11">
        <v>0</v>
      </c>
      <c r="BY204" s="11">
        <v>0</v>
      </c>
      <c r="BZ204" s="16"/>
      <c r="CA204" s="16"/>
      <c r="CB204" s="16">
        <f>357298-105362</f>
        <v>251936</v>
      </c>
      <c r="CC204" s="11">
        <f t="shared" si="447"/>
        <v>0</v>
      </c>
      <c r="CD204" s="11">
        <f t="shared" si="448"/>
        <v>0</v>
      </c>
      <c r="CE204" s="11">
        <f>SUM(CF204:CG204)</f>
        <v>0</v>
      </c>
      <c r="CF204" s="11">
        <v>0</v>
      </c>
      <c r="CG204" s="11">
        <v>0</v>
      </c>
      <c r="CH204" s="11">
        <f t="shared" si="449"/>
        <v>0</v>
      </c>
      <c r="CI204" s="11">
        <v>0</v>
      </c>
      <c r="CJ204" s="11">
        <v>0</v>
      </c>
      <c r="CK204" s="11">
        <v>0</v>
      </c>
      <c r="CL204" s="11">
        <v>0</v>
      </c>
      <c r="CM204" s="11">
        <f t="shared" si="450"/>
        <v>0</v>
      </c>
      <c r="CN204" s="11">
        <v>0</v>
      </c>
      <c r="CO204" s="11">
        <v>0</v>
      </c>
      <c r="CP204" s="11"/>
      <c r="CQ204" s="11">
        <v>0</v>
      </c>
      <c r="CR204" s="11">
        <v>0</v>
      </c>
      <c r="CS204" s="11">
        <v>0</v>
      </c>
      <c r="CT204" s="11">
        <v>0</v>
      </c>
      <c r="CU204" s="11">
        <f>SUM(CV204)</f>
        <v>0</v>
      </c>
      <c r="CV204" s="11">
        <f>SUM(CW204:CX204)</f>
        <v>0</v>
      </c>
      <c r="CW204" s="11">
        <v>0</v>
      </c>
      <c r="CX204" s="12">
        <v>0</v>
      </c>
    </row>
    <row r="205" spans="1:102" ht="15.75" x14ac:dyDescent="0.25">
      <c r="A205" s="13" t="s">
        <v>1</v>
      </c>
      <c r="B205" s="14" t="s">
        <v>1</v>
      </c>
      <c r="C205" s="14" t="s">
        <v>196</v>
      </c>
      <c r="D205" s="15" t="s">
        <v>209</v>
      </c>
      <c r="E205" s="10">
        <f t="shared" si="440"/>
        <v>712796</v>
      </c>
      <c r="F205" s="11">
        <f t="shared" si="441"/>
        <v>712796</v>
      </c>
      <c r="G205" s="11">
        <f t="shared" si="442"/>
        <v>712796</v>
      </c>
      <c r="H205" s="16">
        <f>598377+31914</f>
        <v>630291</v>
      </c>
      <c r="I205" s="16">
        <f>37698+7978</f>
        <v>45676</v>
      </c>
      <c r="J205" s="11">
        <f t="shared" si="443"/>
        <v>13462</v>
      </c>
      <c r="K205" s="11">
        <v>0</v>
      </c>
      <c r="L205" s="11"/>
      <c r="M205" s="11">
        <v>0</v>
      </c>
      <c r="N205" s="11">
        <v>0</v>
      </c>
      <c r="O205" s="11">
        <v>0</v>
      </c>
      <c r="P205" s="16">
        <v>13462</v>
      </c>
      <c r="Q205" s="11">
        <f t="shared" ref="Q205" si="451">SUM(R205:S205)</f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f t="shared" si="444"/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6">
        <v>23367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/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>
        <v>0</v>
      </c>
      <c r="AV205" s="11"/>
      <c r="AW205" s="11"/>
      <c r="AX205" s="11">
        <v>0</v>
      </c>
      <c r="AY205" s="11">
        <v>23367</v>
      </c>
      <c r="AZ205" s="11">
        <v>0</v>
      </c>
      <c r="BA205" s="11">
        <v>0</v>
      </c>
      <c r="BB205" s="11">
        <v>0</v>
      </c>
      <c r="BC205" s="11">
        <f t="shared" si="445"/>
        <v>0</v>
      </c>
      <c r="BD205" s="11">
        <f t="shared" si="446"/>
        <v>0</v>
      </c>
      <c r="BE205" s="11">
        <v>0</v>
      </c>
      <c r="BF205" s="11">
        <v>0</v>
      </c>
      <c r="BG205" s="11">
        <v>0</v>
      </c>
      <c r="BH205" s="11">
        <f t="shared" ref="BH205" si="452">SUM(BJ205:BK205)</f>
        <v>0</v>
      </c>
      <c r="BI205" s="11">
        <v>0</v>
      </c>
      <c r="BJ205" s="11">
        <v>0</v>
      </c>
      <c r="BK205" s="11">
        <v>0</v>
      </c>
      <c r="BL205" s="11">
        <v>0</v>
      </c>
      <c r="BM205" s="11">
        <v>0</v>
      </c>
      <c r="BN205" s="11">
        <f t="shared" ref="BN205" si="453">SUM(BO205)</f>
        <v>0</v>
      </c>
      <c r="BO205" s="11">
        <v>0</v>
      </c>
      <c r="BP205" s="11">
        <v>0</v>
      </c>
      <c r="BQ205" s="11">
        <f t="shared" ref="BQ205" si="454">SUM(BR205:CB205)</f>
        <v>0</v>
      </c>
      <c r="BR205" s="11">
        <v>0</v>
      </c>
      <c r="BS205" s="11">
        <v>0</v>
      </c>
      <c r="BT205" s="11">
        <v>0</v>
      </c>
      <c r="BU205" s="11">
        <v>0</v>
      </c>
      <c r="BV205" s="11">
        <v>0</v>
      </c>
      <c r="BW205" s="11">
        <v>0</v>
      </c>
      <c r="BX205" s="11">
        <v>0</v>
      </c>
      <c r="BY205" s="11">
        <v>0</v>
      </c>
      <c r="BZ205" s="16"/>
      <c r="CA205" s="16"/>
      <c r="CB205" s="16"/>
      <c r="CC205" s="11">
        <f t="shared" si="447"/>
        <v>0</v>
      </c>
      <c r="CD205" s="11">
        <f t="shared" si="448"/>
        <v>0</v>
      </c>
      <c r="CE205" s="11">
        <f t="shared" ref="CE205" si="455">SUM(CF205:CG205)</f>
        <v>0</v>
      </c>
      <c r="CF205" s="11">
        <v>0</v>
      </c>
      <c r="CG205" s="11"/>
      <c r="CH205" s="11">
        <f t="shared" si="449"/>
        <v>0</v>
      </c>
      <c r="CI205" s="11">
        <v>0</v>
      </c>
      <c r="CJ205" s="11">
        <v>0</v>
      </c>
      <c r="CK205" s="11">
        <v>0</v>
      </c>
      <c r="CL205" s="11">
        <v>0</v>
      </c>
      <c r="CM205" s="11">
        <f t="shared" si="450"/>
        <v>0</v>
      </c>
      <c r="CN205" s="11">
        <v>0</v>
      </c>
      <c r="CO205" s="11">
        <v>0</v>
      </c>
      <c r="CP205" s="11"/>
      <c r="CQ205" s="11">
        <v>0</v>
      </c>
      <c r="CR205" s="11">
        <v>0</v>
      </c>
      <c r="CS205" s="11">
        <v>0</v>
      </c>
      <c r="CT205" s="11">
        <v>0</v>
      </c>
      <c r="CU205" s="11">
        <f t="shared" ref="CU205" si="456">SUM(CV205)</f>
        <v>0</v>
      </c>
      <c r="CV205" s="11">
        <f t="shared" ref="CV205" si="457">SUM(CW205:CX205)</f>
        <v>0</v>
      </c>
      <c r="CW205" s="11">
        <v>0</v>
      </c>
      <c r="CX205" s="12">
        <v>0</v>
      </c>
    </row>
    <row r="206" spans="1:102" ht="31.5" x14ac:dyDescent="0.25">
      <c r="A206" s="13" t="s">
        <v>1</v>
      </c>
      <c r="B206" s="14" t="s">
        <v>1</v>
      </c>
      <c r="C206" s="14" t="s">
        <v>345</v>
      </c>
      <c r="D206" s="15" t="s">
        <v>454</v>
      </c>
      <c r="E206" s="10">
        <f t="shared" si="440"/>
        <v>620000</v>
      </c>
      <c r="F206" s="11">
        <f t="shared" si="441"/>
        <v>620000</v>
      </c>
      <c r="G206" s="11">
        <f t="shared" si="442"/>
        <v>0</v>
      </c>
      <c r="H206" s="16"/>
      <c r="I206" s="16"/>
      <c r="J206" s="11">
        <f t="shared" si="443"/>
        <v>0</v>
      </c>
      <c r="K206" s="11">
        <v>0</v>
      </c>
      <c r="L206" s="11"/>
      <c r="M206" s="11">
        <v>0</v>
      </c>
      <c r="N206" s="11">
        <v>0</v>
      </c>
      <c r="O206" s="11">
        <v>0</v>
      </c>
      <c r="P206" s="11">
        <v>0</v>
      </c>
      <c r="Q206" s="11">
        <f t="shared" si="334"/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f t="shared" si="444"/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6"/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/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/>
      <c r="AW206" s="11"/>
      <c r="AX206" s="11">
        <v>0</v>
      </c>
      <c r="AY206" s="11"/>
      <c r="AZ206" s="11">
        <v>0</v>
      </c>
      <c r="BA206" s="11">
        <v>0</v>
      </c>
      <c r="BB206" s="11">
        <v>0</v>
      </c>
      <c r="BC206" s="11">
        <f t="shared" si="445"/>
        <v>620000</v>
      </c>
      <c r="BD206" s="11">
        <f t="shared" si="446"/>
        <v>0</v>
      </c>
      <c r="BE206" s="11">
        <v>0</v>
      </c>
      <c r="BF206" s="11">
        <v>0</v>
      </c>
      <c r="BG206" s="11">
        <v>0</v>
      </c>
      <c r="BH206" s="11">
        <f t="shared" si="336"/>
        <v>0</v>
      </c>
      <c r="BI206" s="11">
        <v>0</v>
      </c>
      <c r="BJ206" s="11">
        <v>0</v>
      </c>
      <c r="BK206" s="11">
        <v>0</v>
      </c>
      <c r="BL206" s="11">
        <v>0</v>
      </c>
      <c r="BM206" s="11">
        <v>0</v>
      </c>
      <c r="BN206" s="11">
        <f t="shared" si="337"/>
        <v>0</v>
      </c>
      <c r="BO206" s="11">
        <v>0</v>
      </c>
      <c r="BP206" s="11">
        <v>0</v>
      </c>
      <c r="BQ206" s="11">
        <f t="shared" si="338"/>
        <v>620000</v>
      </c>
      <c r="BR206" s="11">
        <v>0</v>
      </c>
      <c r="BS206" s="11">
        <v>0</v>
      </c>
      <c r="BT206" s="11">
        <v>0</v>
      </c>
      <c r="BU206" s="11">
        <v>0</v>
      </c>
      <c r="BV206" s="11">
        <v>0</v>
      </c>
      <c r="BW206" s="11">
        <v>0</v>
      </c>
      <c r="BX206" s="11">
        <v>0</v>
      </c>
      <c r="BY206" s="11">
        <v>0</v>
      </c>
      <c r="BZ206" s="16"/>
      <c r="CA206" s="16"/>
      <c r="CB206" s="16">
        <f>0+620000</f>
        <v>620000</v>
      </c>
      <c r="CC206" s="11">
        <f t="shared" si="447"/>
        <v>0</v>
      </c>
      <c r="CD206" s="11">
        <f t="shared" si="448"/>
        <v>0</v>
      </c>
      <c r="CE206" s="11">
        <f t="shared" si="339"/>
        <v>0</v>
      </c>
      <c r="CF206" s="11">
        <v>0</v>
      </c>
      <c r="CG206" s="11"/>
      <c r="CH206" s="11">
        <f t="shared" si="449"/>
        <v>0</v>
      </c>
      <c r="CI206" s="11">
        <v>0</v>
      </c>
      <c r="CJ206" s="11">
        <v>0</v>
      </c>
      <c r="CK206" s="11">
        <v>0</v>
      </c>
      <c r="CL206" s="11">
        <v>0</v>
      </c>
      <c r="CM206" s="11">
        <f t="shared" si="450"/>
        <v>0</v>
      </c>
      <c r="CN206" s="11">
        <v>0</v>
      </c>
      <c r="CO206" s="11">
        <v>0</v>
      </c>
      <c r="CP206" s="11"/>
      <c r="CQ206" s="11">
        <v>0</v>
      </c>
      <c r="CR206" s="11">
        <v>0</v>
      </c>
      <c r="CS206" s="11">
        <v>0</v>
      </c>
      <c r="CT206" s="11">
        <v>0</v>
      </c>
      <c r="CU206" s="11">
        <f t="shared" si="340"/>
        <v>0</v>
      </c>
      <c r="CV206" s="11">
        <f t="shared" si="341"/>
        <v>0</v>
      </c>
      <c r="CW206" s="11">
        <v>0</v>
      </c>
      <c r="CX206" s="12">
        <v>0</v>
      </c>
    </row>
    <row r="207" spans="1:102" ht="31.5" x14ac:dyDescent="0.25">
      <c r="A207" s="7"/>
      <c r="B207" s="8" t="s">
        <v>346</v>
      </c>
      <c r="C207" s="8" t="s">
        <v>1</v>
      </c>
      <c r="D207" s="9" t="s">
        <v>455</v>
      </c>
      <c r="E207" s="10">
        <f t="shared" ref="E207:AU207" si="458">SUM(E208:E218)</f>
        <v>159395606</v>
      </c>
      <c r="F207" s="11">
        <f t="shared" si="458"/>
        <v>159395606</v>
      </c>
      <c r="G207" s="11">
        <f t="shared" si="458"/>
        <v>159395606</v>
      </c>
      <c r="H207" s="11">
        <f t="shared" si="458"/>
        <v>0</v>
      </c>
      <c r="I207" s="11">
        <f t="shared" si="458"/>
        <v>0</v>
      </c>
      <c r="J207" s="11">
        <f t="shared" si="458"/>
        <v>0</v>
      </c>
      <c r="K207" s="11">
        <f t="shared" si="458"/>
        <v>0</v>
      </c>
      <c r="L207" s="11">
        <f t="shared" si="458"/>
        <v>0</v>
      </c>
      <c r="M207" s="11">
        <f t="shared" si="458"/>
        <v>0</v>
      </c>
      <c r="N207" s="11">
        <f t="shared" si="458"/>
        <v>0</v>
      </c>
      <c r="O207" s="11">
        <f t="shared" si="458"/>
        <v>0</v>
      </c>
      <c r="P207" s="11">
        <f t="shared" si="458"/>
        <v>0</v>
      </c>
      <c r="Q207" s="11">
        <f t="shared" si="458"/>
        <v>0</v>
      </c>
      <c r="R207" s="11">
        <f t="shared" si="458"/>
        <v>0</v>
      </c>
      <c r="S207" s="11">
        <f t="shared" si="458"/>
        <v>0</v>
      </c>
      <c r="T207" s="11">
        <f t="shared" si="458"/>
        <v>0</v>
      </c>
      <c r="U207" s="11">
        <f t="shared" si="458"/>
        <v>0</v>
      </c>
      <c r="V207" s="11">
        <f t="shared" si="458"/>
        <v>159395606</v>
      </c>
      <c r="W207" s="11">
        <f t="shared" si="458"/>
        <v>0</v>
      </c>
      <c r="X207" s="11">
        <f t="shared" si="458"/>
        <v>0</v>
      </c>
      <c r="Y207" s="11">
        <f t="shared" si="458"/>
        <v>0</v>
      </c>
      <c r="Z207" s="11">
        <f t="shared" si="458"/>
        <v>0</v>
      </c>
      <c r="AA207" s="11">
        <f t="shared" si="458"/>
        <v>0</v>
      </c>
      <c r="AB207" s="11">
        <f t="shared" si="458"/>
        <v>0</v>
      </c>
      <c r="AC207" s="11">
        <f t="shared" si="458"/>
        <v>159395606</v>
      </c>
      <c r="AD207" s="11">
        <f t="shared" si="458"/>
        <v>0</v>
      </c>
      <c r="AE207" s="11">
        <f t="shared" si="458"/>
        <v>0</v>
      </c>
      <c r="AF207" s="11">
        <f t="shared" si="458"/>
        <v>0</v>
      </c>
      <c r="AG207" s="11">
        <f t="shared" si="458"/>
        <v>0</v>
      </c>
      <c r="AH207" s="11">
        <f t="shared" si="458"/>
        <v>0</v>
      </c>
      <c r="AI207" s="11">
        <f t="shared" si="458"/>
        <v>0</v>
      </c>
      <c r="AJ207" s="11">
        <f t="shared" si="458"/>
        <v>0</v>
      </c>
      <c r="AK207" s="11">
        <f t="shared" si="458"/>
        <v>0</v>
      </c>
      <c r="AL207" s="11">
        <f t="shared" si="458"/>
        <v>0</v>
      </c>
      <c r="AM207" s="11">
        <f t="shared" si="458"/>
        <v>0</v>
      </c>
      <c r="AN207" s="11">
        <f t="shared" si="458"/>
        <v>0</v>
      </c>
      <c r="AO207" s="11">
        <f t="shared" si="458"/>
        <v>0</v>
      </c>
      <c r="AP207" s="11">
        <f t="shared" si="458"/>
        <v>0</v>
      </c>
      <c r="AQ207" s="11">
        <f t="shared" si="458"/>
        <v>0</v>
      </c>
      <c r="AR207" s="11">
        <f t="shared" ref="AR207" si="459">SUM(AR208:AR218)</f>
        <v>0</v>
      </c>
      <c r="AS207" s="11">
        <f t="shared" si="458"/>
        <v>0</v>
      </c>
      <c r="AT207" s="11">
        <f t="shared" si="458"/>
        <v>0</v>
      </c>
      <c r="AU207" s="11">
        <f t="shared" si="458"/>
        <v>0</v>
      </c>
      <c r="AV207" s="11"/>
      <c r="AW207" s="11"/>
      <c r="AX207" s="11">
        <f t="shared" ref="AX207:CO207" si="460">SUM(AX208:AX218)</f>
        <v>0</v>
      </c>
      <c r="AY207" s="11">
        <f t="shared" si="460"/>
        <v>0</v>
      </c>
      <c r="AZ207" s="11">
        <f t="shared" si="460"/>
        <v>0</v>
      </c>
      <c r="BA207" s="11">
        <f t="shared" si="460"/>
        <v>0</v>
      </c>
      <c r="BB207" s="11">
        <f t="shared" si="460"/>
        <v>0</v>
      </c>
      <c r="BC207" s="11">
        <f t="shared" si="460"/>
        <v>0</v>
      </c>
      <c r="BD207" s="11">
        <f t="shared" si="460"/>
        <v>0</v>
      </c>
      <c r="BE207" s="11">
        <f t="shared" si="460"/>
        <v>0</v>
      </c>
      <c r="BF207" s="11">
        <f t="shared" si="460"/>
        <v>0</v>
      </c>
      <c r="BG207" s="11">
        <f t="shared" si="460"/>
        <v>0</v>
      </c>
      <c r="BH207" s="11">
        <f t="shared" si="460"/>
        <v>0</v>
      </c>
      <c r="BI207" s="11">
        <f t="shared" si="460"/>
        <v>0</v>
      </c>
      <c r="BJ207" s="11">
        <f t="shared" si="460"/>
        <v>0</v>
      </c>
      <c r="BK207" s="11">
        <f t="shared" si="460"/>
        <v>0</v>
      </c>
      <c r="BL207" s="11">
        <f t="shared" si="460"/>
        <v>0</v>
      </c>
      <c r="BM207" s="11">
        <f t="shared" si="460"/>
        <v>0</v>
      </c>
      <c r="BN207" s="11">
        <f t="shared" si="460"/>
        <v>0</v>
      </c>
      <c r="BO207" s="11">
        <f t="shared" si="460"/>
        <v>0</v>
      </c>
      <c r="BP207" s="11">
        <f t="shared" ref="BP207" si="461">SUM(BP208:BP218)</f>
        <v>0</v>
      </c>
      <c r="BQ207" s="11">
        <f t="shared" si="460"/>
        <v>0</v>
      </c>
      <c r="BR207" s="11">
        <f t="shared" si="460"/>
        <v>0</v>
      </c>
      <c r="BS207" s="11">
        <f t="shared" si="460"/>
        <v>0</v>
      </c>
      <c r="BT207" s="11">
        <f t="shared" si="460"/>
        <v>0</v>
      </c>
      <c r="BU207" s="11">
        <f t="shared" si="460"/>
        <v>0</v>
      </c>
      <c r="BV207" s="11">
        <f t="shared" si="460"/>
        <v>0</v>
      </c>
      <c r="BW207" s="11">
        <f t="shared" si="460"/>
        <v>0</v>
      </c>
      <c r="BX207" s="11">
        <f t="shared" si="460"/>
        <v>0</v>
      </c>
      <c r="BY207" s="11">
        <f t="shared" si="460"/>
        <v>0</v>
      </c>
      <c r="BZ207" s="11">
        <f t="shared" si="460"/>
        <v>0</v>
      </c>
      <c r="CA207" s="11">
        <f t="shared" si="460"/>
        <v>0</v>
      </c>
      <c r="CB207" s="11">
        <f t="shared" si="460"/>
        <v>0</v>
      </c>
      <c r="CC207" s="11">
        <f t="shared" si="460"/>
        <v>0</v>
      </c>
      <c r="CD207" s="11">
        <f t="shared" si="460"/>
        <v>0</v>
      </c>
      <c r="CE207" s="11">
        <f t="shared" si="460"/>
        <v>0</v>
      </c>
      <c r="CF207" s="11">
        <f t="shared" si="460"/>
        <v>0</v>
      </c>
      <c r="CG207" s="11">
        <f t="shared" si="460"/>
        <v>0</v>
      </c>
      <c r="CH207" s="11">
        <f t="shared" si="460"/>
        <v>0</v>
      </c>
      <c r="CI207" s="11">
        <f t="shared" si="460"/>
        <v>0</v>
      </c>
      <c r="CJ207" s="11">
        <f t="shared" si="460"/>
        <v>0</v>
      </c>
      <c r="CK207" s="11">
        <f t="shared" si="460"/>
        <v>0</v>
      </c>
      <c r="CL207" s="11">
        <f t="shared" si="460"/>
        <v>0</v>
      </c>
      <c r="CM207" s="11">
        <f t="shared" si="460"/>
        <v>0</v>
      </c>
      <c r="CN207" s="11">
        <f t="shared" si="460"/>
        <v>0</v>
      </c>
      <c r="CO207" s="11">
        <f t="shared" si="460"/>
        <v>0</v>
      </c>
      <c r="CP207" s="11"/>
      <c r="CQ207" s="11">
        <f t="shared" ref="CQ207:CX207" si="462">SUM(CQ208:CQ218)</f>
        <v>0</v>
      </c>
      <c r="CR207" s="11">
        <f t="shared" si="462"/>
        <v>0</v>
      </c>
      <c r="CS207" s="11">
        <f t="shared" si="462"/>
        <v>0</v>
      </c>
      <c r="CT207" s="11">
        <f t="shared" si="462"/>
        <v>0</v>
      </c>
      <c r="CU207" s="11">
        <f t="shared" si="462"/>
        <v>0</v>
      </c>
      <c r="CV207" s="11">
        <f t="shared" si="462"/>
        <v>0</v>
      </c>
      <c r="CW207" s="11">
        <f t="shared" si="462"/>
        <v>0</v>
      </c>
      <c r="CX207" s="12">
        <f t="shared" si="462"/>
        <v>0</v>
      </c>
    </row>
    <row r="208" spans="1:102" ht="31.5" x14ac:dyDescent="0.25">
      <c r="A208" s="13" t="s">
        <v>1</v>
      </c>
      <c r="B208" s="14" t="s">
        <v>1</v>
      </c>
      <c r="C208" s="26" t="s">
        <v>82</v>
      </c>
      <c r="D208" s="25" t="s">
        <v>456</v>
      </c>
      <c r="E208" s="10">
        <f t="shared" ref="E208:E218" si="463">SUM(F208+CC208+CU208)</f>
        <v>126786693</v>
      </c>
      <c r="F208" s="11">
        <f t="shared" ref="F208:F218" si="464">SUM(G208+BC208)</f>
        <v>126786693</v>
      </c>
      <c r="G208" s="11">
        <f t="shared" ref="G208:G218" si="465">SUM(H208+I208+J208+Q208+T208+U208+V208+AF208+AE208)</f>
        <v>126786693</v>
      </c>
      <c r="H208" s="11">
        <v>0</v>
      </c>
      <c r="I208" s="11">
        <v>0</v>
      </c>
      <c r="J208" s="11">
        <f t="shared" ref="J208:J218" si="466">SUM(K208:P208)</f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f t="shared" ref="Q208:Q218" si="467">SUM(R208:S208)</f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f t="shared" ref="V208:V218" si="468">SUM(W208:AD208)</f>
        <v>126786693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6">
        <v>126786693</v>
      </c>
      <c r="AD208" s="11">
        <v>0</v>
      </c>
      <c r="AE208" s="11">
        <v>0</v>
      </c>
      <c r="AF208" s="11">
        <f t="shared" ref="AF208:AF218" si="469">SUM(AG208:BB208)</f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/>
      <c r="AW208" s="11"/>
      <c r="AX208" s="11">
        <v>0</v>
      </c>
      <c r="AY208" s="11">
        <v>0</v>
      </c>
      <c r="AZ208" s="11">
        <v>0</v>
      </c>
      <c r="BA208" s="11">
        <v>0</v>
      </c>
      <c r="BB208" s="11">
        <v>0</v>
      </c>
      <c r="BC208" s="11">
        <f t="shared" ref="BC208:BC218" si="470">SUM(BD208+BH208+BL208+BN208+BQ208)</f>
        <v>0</v>
      </c>
      <c r="BD208" s="11">
        <f t="shared" ref="BD208:BD218" si="471">SUM(BE208:BG208)</f>
        <v>0</v>
      </c>
      <c r="BE208" s="11">
        <v>0</v>
      </c>
      <c r="BF208" s="11">
        <v>0</v>
      </c>
      <c r="BG208" s="11">
        <v>0</v>
      </c>
      <c r="BH208" s="11">
        <f t="shared" ref="BH208:BH218" si="472">SUM(BJ208:BK208)</f>
        <v>0</v>
      </c>
      <c r="BI208" s="11">
        <v>0</v>
      </c>
      <c r="BJ208" s="11">
        <v>0</v>
      </c>
      <c r="BK208" s="11">
        <v>0</v>
      </c>
      <c r="BL208" s="11">
        <v>0</v>
      </c>
      <c r="BM208" s="11">
        <v>0</v>
      </c>
      <c r="BN208" s="11">
        <f t="shared" ref="BN208:BN218" si="473">SUM(BO208)</f>
        <v>0</v>
      </c>
      <c r="BO208" s="11">
        <v>0</v>
      </c>
      <c r="BP208" s="11">
        <v>0</v>
      </c>
      <c r="BQ208" s="11">
        <f t="shared" ref="BQ208:BQ218" si="474">SUM(BR208:CB208)</f>
        <v>0</v>
      </c>
      <c r="BR208" s="11">
        <v>0</v>
      </c>
      <c r="BS208" s="11">
        <v>0</v>
      </c>
      <c r="BT208" s="11">
        <v>0</v>
      </c>
      <c r="BU208" s="11">
        <v>0</v>
      </c>
      <c r="BV208" s="11">
        <v>0</v>
      </c>
      <c r="BW208" s="11">
        <v>0</v>
      </c>
      <c r="BX208" s="11">
        <v>0</v>
      </c>
      <c r="BY208" s="11">
        <v>0</v>
      </c>
      <c r="BZ208" s="11">
        <v>0</v>
      </c>
      <c r="CA208" s="11">
        <v>0</v>
      </c>
      <c r="CB208" s="11">
        <v>0</v>
      </c>
      <c r="CC208" s="11">
        <f t="shared" ref="CC208:CC218" si="475">SUM(CD208+CT208)</f>
        <v>0</v>
      </c>
      <c r="CD208" s="11">
        <f t="shared" ref="CD208:CD218" si="476">SUM(CE208+CH208+CM208)</f>
        <v>0</v>
      </c>
      <c r="CE208" s="11">
        <f t="shared" ref="CE208:CE218" si="477">SUM(CF208:CG208)</f>
        <v>0</v>
      </c>
      <c r="CF208" s="11">
        <v>0</v>
      </c>
      <c r="CG208" s="11">
        <v>0</v>
      </c>
      <c r="CH208" s="11">
        <f t="shared" ref="CH208:CH218" si="478">SUM(CI208:CL208)</f>
        <v>0</v>
      </c>
      <c r="CI208" s="11">
        <v>0</v>
      </c>
      <c r="CJ208" s="11">
        <v>0</v>
      </c>
      <c r="CK208" s="11">
        <v>0</v>
      </c>
      <c r="CL208" s="11">
        <v>0</v>
      </c>
      <c r="CM208" s="11">
        <f t="shared" ref="CM208:CM218" si="479">SUM(CN208:CQ208)</f>
        <v>0</v>
      </c>
      <c r="CN208" s="11">
        <v>0</v>
      </c>
      <c r="CO208" s="11">
        <v>0</v>
      </c>
      <c r="CP208" s="11"/>
      <c r="CQ208" s="11">
        <v>0</v>
      </c>
      <c r="CR208" s="11">
        <v>0</v>
      </c>
      <c r="CS208" s="11">
        <v>0</v>
      </c>
      <c r="CT208" s="11">
        <v>0</v>
      </c>
      <c r="CU208" s="11">
        <f t="shared" ref="CU208:CU218" si="480">SUM(CV208)</f>
        <v>0</v>
      </c>
      <c r="CV208" s="11">
        <f t="shared" ref="CV208:CV218" si="481">SUM(CW208:CX208)</f>
        <v>0</v>
      </c>
      <c r="CW208" s="11">
        <v>0</v>
      </c>
      <c r="CX208" s="12">
        <v>0</v>
      </c>
    </row>
    <row r="209" spans="1:102" ht="31.5" x14ac:dyDescent="0.25">
      <c r="A209" s="13" t="s">
        <v>1</v>
      </c>
      <c r="B209" s="14" t="s">
        <v>1</v>
      </c>
      <c r="C209" s="26" t="s">
        <v>102</v>
      </c>
      <c r="D209" s="25" t="s">
        <v>457</v>
      </c>
      <c r="E209" s="10">
        <f t="shared" si="463"/>
        <v>0</v>
      </c>
      <c r="F209" s="11">
        <f t="shared" si="464"/>
        <v>0</v>
      </c>
      <c r="G209" s="11">
        <f t="shared" si="465"/>
        <v>0</v>
      </c>
      <c r="H209" s="11">
        <v>0</v>
      </c>
      <c r="I209" s="11">
        <v>0</v>
      </c>
      <c r="J209" s="11">
        <f t="shared" si="466"/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f t="shared" si="467"/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f t="shared" si="468"/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6">
        <f>1662029-1662029</f>
        <v>0</v>
      </c>
      <c r="AD209" s="11">
        <v>0</v>
      </c>
      <c r="AE209" s="11">
        <v>0</v>
      </c>
      <c r="AF209" s="11">
        <f t="shared" si="469"/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0</v>
      </c>
      <c r="AV209" s="11"/>
      <c r="AW209" s="11"/>
      <c r="AX209" s="11">
        <v>0</v>
      </c>
      <c r="AY209" s="11">
        <v>0</v>
      </c>
      <c r="AZ209" s="11">
        <v>0</v>
      </c>
      <c r="BA209" s="11">
        <v>0</v>
      </c>
      <c r="BB209" s="11">
        <v>0</v>
      </c>
      <c r="BC209" s="11">
        <f t="shared" si="470"/>
        <v>0</v>
      </c>
      <c r="BD209" s="11">
        <f t="shared" si="471"/>
        <v>0</v>
      </c>
      <c r="BE209" s="11">
        <v>0</v>
      </c>
      <c r="BF209" s="11">
        <v>0</v>
      </c>
      <c r="BG209" s="11">
        <v>0</v>
      </c>
      <c r="BH209" s="11">
        <f t="shared" si="472"/>
        <v>0</v>
      </c>
      <c r="BI209" s="11">
        <v>0</v>
      </c>
      <c r="BJ209" s="11">
        <v>0</v>
      </c>
      <c r="BK209" s="11">
        <v>0</v>
      </c>
      <c r="BL209" s="11">
        <v>0</v>
      </c>
      <c r="BM209" s="11">
        <v>0</v>
      </c>
      <c r="BN209" s="11">
        <f t="shared" si="473"/>
        <v>0</v>
      </c>
      <c r="BO209" s="11">
        <v>0</v>
      </c>
      <c r="BP209" s="11">
        <v>0</v>
      </c>
      <c r="BQ209" s="11">
        <f t="shared" si="474"/>
        <v>0</v>
      </c>
      <c r="BR209" s="11">
        <v>0</v>
      </c>
      <c r="BS209" s="11">
        <v>0</v>
      </c>
      <c r="BT209" s="11">
        <v>0</v>
      </c>
      <c r="BU209" s="11">
        <v>0</v>
      </c>
      <c r="BV209" s="11">
        <v>0</v>
      </c>
      <c r="BW209" s="11">
        <v>0</v>
      </c>
      <c r="BX209" s="11">
        <v>0</v>
      </c>
      <c r="BY209" s="11">
        <v>0</v>
      </c>
      <c r="BZ209" s="11">
        <v>0</v>
      </c>
      <c r="CA209" s="11">
        <v>0</v>
      </c>
      <c r="CB209" s="11">
        <v>0</v>
      </c>
      <c r="CC209" s="11">
        <f t="shared" si="475"/>
        <v>0</v>
      </c>
      <c r="CD209" s="11">
        <f t="shared" si="476"/>
        <v>0</v>
      </c>
      <c r="CE209" s="11">
        <f t="shared" si="477"/>
        <v>0</v>
      </c>
      <c r="CF209" s="11">
        <v>0</v>
      </c>
      <c r="CG209" s="11">
        <v>0</v>
      </c>
      <c r="CH209" s="11">
        <f t="shared" si="478"/>
        <v>0</v>
      </c>
      <c r="CI209" s="11">
        <v>0</v>
      </c>
      <c r="CJ209" s="11">
        <v>0</v>
      </c>
      <c r="CK209" s="11">
        <v>0</v>
      </c>
      <c r="CL209" s="11">
        <v>0</v>
      </c>
      <c r="CM209" s="11">
        <f t="shared" si="479"/>
        <v>0</v>
      </c>
      <c r="CN209" s="11">
        <v>0</v>
      </c>
      <c r="CO209" s="11">
        <v>0</v>
      </c>
      <c r="CP209" s="11"/>
      <c r="CQ209" s="11">
        <v>0</v>
      </c>
      <c r="CR209" s="11">
        <v>0</v>
      </c>
      <c r="CS209" s="11">
        <v>0</v>
      </c>
      <c r="CT209" s="11">
        <v>0</v>
      </c>
      <c r="CU209" s="11">
        <f t="shared" si="480"/>
        <v>0</v>
      </c>
      <c r="CV209" s="11">
        <f t="shared" si="481"/>
        <v>0</v>
      </c>
      <c r="CW209" s="11">
        <v>0</v>
      </c>
      <c r="CX209" s="12">
        <v>0</v>
      </c>
    </row>
    <row r="210" spans="1:102" ht="15.75" x14ac:dyDescent="0.25">
      <c r="A210" s="13" t="s">
        <v>1</v>
      </c>
      <c r="B210" s="14" t="s">
        <v>1</v>
      </c>
      <c r="C210" s="26" t="s">
        <v>347</v>
      </c>
      <c r="D210" s="25" t="s">
        <v>458</v>
      </c>
      <c r="E210" s="10">
        <f t="shared" si="463"/>
        <v>17404013</v>
      </c>
      <c r="F210" s="11">
        <f t="shared" si="464"/>
        <v>17404013</v>
      </c>
      <c r="G210" s="11">
        <f t="shared" si="465"/>
        <v>17404013</v>
      </c>
      <c r="H210" s="11">
        <v>0</v>
      </c>
      <c r="I210" s="11">
        <v>0</v>
      </c>
      <c r="J210" s="11">
        <f t="shared" si="466"/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f t="shared" si="467"/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f t="shared" si="468"/>
        <v>17404013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6">
        <f>18325032-921019</f>
        <v>17404013</v>
      </c>
      <c r="AD210" s="11">
        <v>0</v>
      </c>
      <c r="AE210" s="11">
        <v>0</v>
      </c>
      <c r="AF210" s="11">
        <f t="shared" si="469"/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  <c r="AU210" s="11">
        <v>0</v>
      </c>
      <c r="AV210" s="11"/>
      <c r="AW210" s="11"/>
      <c r="AX210" s="11">
        <v>0</v>
      </c>
      <c r="AY210" s="11">
        <v>0</v>
      </c>
      <c r="AZ210" s="11">
        <v>0</v>
      </c>
      <c r="BA210" s="11">
        <v>0</v>
      </c>
      <c r="BB210" s="11">
        <v>0</v>
      </c>
      <c r="BC210" s="11">
        <f t="shared" si="470"/>
        <v>0</v>
      </c>
      <c r="BD210" s="11">
        <f t="shared" si="471"/>
        <v>0</v>
      </c>
      <c r="BE210" s="11">
        <v>0</v>
      </c>
      <c r="BF210" s="11">
        <v>0</v>
      </c>
      <c r="BG210" s="11">
        <v>0</v>
      </c>
      <c r="BH210" s="11">
        <f t="shared" si="472"/>
        <v>0</v>
      </c>
      <c r="BI210" s="11">
        <v>0</v>
      </c>
      <c r="BJ210" s="11">
        <v>0</v>
      </c>
      <c r="BK210" s="11">
        <v>0</v>
      </c>
      <c r="BL210" s="11">
        <v>0</v>
      </c>
      <c r="BM210" s="11">
        <v>0</v>
      </c>
      <c r="BN210" s="11">
        <f t="shared" si="473"/>
        <v>0</v>
      </c>
      <c r="BO210" s="11">
        <v>0</v>
      </c>
      <c r="BP210" s="11">
        <v>0</v>
      </c>
      <c r="BQ210" s="11">
        <f t="shared" si="474"/>
        <v>0</v>
      </c>
      <c r="BR210" s="11">
        <v>0</v>
      </c>
      <c r="BS210" s="11">
        <v>0</v>
      </c>
      <c r="BT210" s="11">
        <v>0</v>
      </c>
      <c r="BU210" s="11">
        <v>0</v>
      </c>
      <c r="BV210" s="11">
        <v>0</v>
      </c>
      <c r="BW210" s="11">
        <v>0</v>
      </c>
      <c r="BX210" s="11">
        <v>0</v>
      </c>
      <c r="BY210" s="11">
        <v>0</v>
      </c>
      <c r="BZ210" s="11">
        <v>0</v>
      </c>
      <c r="CA210" s="11">
        <v>0</v>
      </c>
      <c r="CB210" s="11">
        <v>0</v>
      </c>
      <c r="CC210" s="11">
        <f t="shared" si="475"/>
        <v>0</v>
      </c>
      <c r="CD210" s="11">
        <f t="shared" si="476"/>
        <v>0</v>
      </c>
      <c r="CE210" s="11">
        <f t="shared" si="477"/>
        <v>0</v>
      </c>
      <c r="CF210" s="11">
        <v>0</v>
      </c>
      <c r="CG210" s="11">
        <v>0</v>
      </c>
      <c r="CH210" s="11">
        <f t="shared" si="478"/>
        <v>0</v>
      </c>
      <c r="CI210" s="11">
        <v>0</v>
      </c>
      <c r="CJ210" s="11">
        <v>0</v>
      </c>
      <c r="CK210" s="11">
        <v>0</v>
      </c>
      <c r="CL210" s="11">
        <v>0</v>
      </c>
      <c r="CM210" s="11">
        <f t="shared" si="479"/>
        <v>0</v>
      </c>
      <c r="CN210" s="11">
        <v>0</v>
      </c>
      <c r="CO210" s="11">
        <v>0</v>
      </c>
      <c r="CP210" s="11"/>
      <c r="CQ210" s="11">
        <v>0</v>
      </c>
      <c r="CR210" s="11">
        <v>0</v>
      </c>
      <c r="CS210" s="11">
        <v>0</v>
      </c>
      <c r="CT210" s="11">
        <v>0</v>
      </c>
      <c r="CU210" s="11">
        <f t="shared" si="480"/>
        <v>0</v>
      </c>
      <c r="CV210" s="11">
        <f t="shared" si="481"/>
        <v>0</v>
      </c>
      <c r="CW210" s="11">
        <v>0</v>
      </c>
      <c r="CX210" s="12">
        <v>0</v>
      </c>
    </row>
    <row r="211" spans="1:102" ht="31.5" x14ac:dyDescent="0.25">
      <c r="A211" s="13" t="s">
        <v>1</v>
      </c>
      <c r="B211" s="14" t="s">
        <v>1</v>
      </c>
      <c r="C211" s="26" t="s">
        <v>347</v>
      </c>
      <c r="D211" s="25" t="s">
        <v>459</v>
      </c>
      <c r="E211" s="10">
        <f t="shared" si="463"/>
        <v>864852</v>
      </c>
      <c r="F211" s="11">
        <f t="shared" si="464"/>
        <v>864852</v>
      </c>
      <c r="G211" s="11">
        <f t="shared" si="465"/>
        <v>864852</v>
      </c>
      <c r="H211" s="11">
        <v>0</v>
      </c>
      <c r="I211" s="11">
        <v>0</v>
      </c>
      <c r="J211" s="11">
        <f t="shared" si="466"/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f t="shared" si="467"/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f t="shared" si="468"/>
        <v>864852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6">
        <f>822440+42412</f>
        <v>864852</v>
      </c>
      <c r="AD211" s="11">
        <v>0</v>
      </c>
      <c r="AE211" s="11">
        <v>0</v>
      </c>
      <c r="AF211" s="11">
        <f t="shared" si="469"/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11">
        <v>0</v>
      </c>
      <c r="AV211" s="11"/>
      <c r="AW211" s="11"/>
      <c r="AX211" s="11">
        <v>0</v>
      </c>
      <c r="AY211" s="11">
        <v>0</v>
      </c>
      <c r="AZ211" s="11">
        <v>0</v>
      </c>
      <c r="BA211" s="11">
        <v>0</v>
      </c>
      <c r="BB211" s="11">
        <v>0</v>
      </c>
      <c r="BC211" s="11">
        <f t="shared" si="470"/>
        <v>0</v>
      </c>
      <c r="BD211" s="11">
        <f t="shared" si="471"/>
        <v>0</v>
      </c>
      <c r="BE211" s="11">
        <v>0</v>
      </c>
      <c r="BF211" s="11">
        <v>0</v>
      </c>
      <c r="BG211" s="11">
        <v>0</v>
      </c>
      <c r="BH211" s="11">
        <f t="shared" si="472"/>
        <v>0</v>
      </c>
      <c r="BI211" s="11">
        <v>0</v>
      </c>
      <c r="BJ211" s="11">
        <v>0</v>
      </c>
      <c r="BK211" s="11">
        <v>0</v>
      </c>
      <c r="BL211" s="11">
        <v>0</v>
      </c>
      <c r="BM211" s="11">
        <v>0</v>
      </c>
      <c r="BN211" s="11">
        <f t="shared" si="473"/>
        <v>0</v>
      </c>
      <c r="BO211" s="11">
        <v>0</v>
      </c>
      <c r="BP211" s="11">
        <v>0</v>
      </c>
      <c r="BQ211" s="11">
        <f t="shared" si="474"/>
        <v>0</v>
      </c>
      <c r="BR211" s="11">
        <v>0</v>
      </c>
      <c r="BS211" s="11">
        <v>0</v>
      </c>
      <c r="BT211" s="11">
        <v>0</v>
      </c>
      <c r="BU211" s="11">
        <v>0</v>
      </c>
      <c r="BV211" s="11">
        <v>0</v>
      </c>
      <c r="BW211" s="11">
        <v>0</v>
      </c>
      <c r="BX211" s="11">
        <v>0</v>
      </c>
      <c r="BY211" s="11">
        <v>0</v>
      </c>
      <c r="BZ211" s="11">
        <v>0</v>
      </c>
      <c r="CA211" s="11">
        <v>0</v>
      </c>
      <c r="CB211" s="11">
        <v>0</v>
      </c>
      <c r="CC211" s="11">
        <f t="shared" si="475"/>
        <v>0</v>
      </c>
      <c r="CD211" s="11">
        <f t="shared" si="476"/>
        <v>0</v>
      </c>
      <c r="CE211" s="11">
        <f t="shared" si="477"/>
        <v>0</v>
      </c>
      <c r="CF211" s="11">
        <v>0</v>
      </c>
      <c r="CG211" s="11">
        <v>0</v>
      </c>
      <c r="CH211" s="11">
        <f t="shared" si="478"/>
        <v>0</v>
      </c>
      <c r="CI211" s="11">
        <v>0</v>
      </c>
      <c r="CJ211" s="11">
        <v>0</v>
      </c>
      <c r="CK211" s="11">
        <v>0</v>
      </c>
      <c r="CL211" s="11">
        <v>0</v>
      </c>
      <c r="CM211" s="11">
        <f t="shared" si="479"/>
        <v>0</v>
      </c>
      <c r="CN211" s="11">
        <v>0</v>
      </c>
      <c r="CO211" s="11">
        <v>0</v>
      </c>
      <c r="CP211" s="11"/>
      <c r="CQ211" s="11">
        <v>0</v>
      </c>
      <c r="CR211" s="11">
        <v>0</v>
      </c>
      <c r="CS211" s="11">
        <v>0</v>
      </c>
      <c r="CT211" s="11">
        <v>0</v>
      </c>
      <c r="CU211" s="11">
        <f t="shared" si="480"/>
        <v>0</v>
      </c>
      <c r="CV211" s="11">
        <f t="shared" si="481"/>
        <v>0</v>
      </c>
      <c r="CW211" s="11">
        <v>0</v>
      </c>
      <c r="CX211" s="12">
        <v>0</v>
      </c>
    </row>
    <row r="212" spans="1:102" ht="31.5" x14ac:dyDescent="0.25">
      <c r="A212" s="13" t="s">
        <v>1</v>
      </c>
      <c r="B212" s="14" t="s">
        <v>1</v>
      </c>
      <c r="C212" s="26" t="s">
        <v>347</v>
      </c>
      <c r="D212" s="25" t="s">
        <v>460</v>
      </c>
      <c r="E212" s="10">
        <f t="shared" si="463"/>
        <v>331838</v>
      </c>
      <c r="F212" s="11">
        <f t="shared" si="464"/>
        <v>331838</v>
      </c>
      <c r="G212" s="11">
        <f t="shared" si="465"/>
        <v>331838</v>
      </c>
      <c r="H212" s="11">
        <v>0</v>
      </c>
      <c r="I212" s="11">
        <v>0</v>
      </c>
      <c r="J212" s="11">
        <f t="shared" si="466"/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f t="shared" si="467"/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f t="shared" si="468"/>
        <v>331838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6">
        <f>581348-249510</f>
        <v>331838</v>
      </c>
      <c r="AD212" s="11">
        <v>0</v>
      </c>
      <c r="AE212" s="11">
        <v>0</v>
      </c>
      <c r="AF212" s="11">
        <f t="shared" si="469"/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11">
        <v>0</v>
      </c>
      <c r="AV212" s="11"/>
      <c r="AW212" s="11"/>
      <c r="AX212" s="11">
        <v>0</v>
      </c>
      <c r="AY212" s="11">
        <v>0</v>
      </c>
      <c r="AZ212" s="11">
        <v>0</v>
      </c>
      <c r="BA212" s="11">
        <v>0</v>
      </c>
      <c r="BB212" s="11">
        <v>0</v>
      </c>
      <c r="BC212" s="11">
        <f t="shared" si="470"/>
        <v>0</v>
      </c>
      <c r="BD212" s="11">
        <f t="shared" si="471"/>
        <v>0</v>
      </c>
      <c r="BE212" s="11">
        <v>0</v>
      </c>
      <c r="BF212" s="11">
        <v>0</v>
      </c>
      <c r="BG212" s="11">
        <v>0</v>
      </c>
      <c r="BH212" s="11">
        <f t="shared" si="472"/>
        <v>0</v>
      </c>
      <c r="BI212" s="11">
        <v>0</v>
      </c>
      <c r="BJ212" s="11">
        <v>0</v>
      </c>
      <c r="BK212" s="11">
        <v>0</v>
      </c>
      <c r="BL212" s="11">
        <v>0</v>
      </c>
      <c r="BM212" s="11">
        <v>0</v>
      </c>
      <c r="BN212" s="11">
        <f t="shared" si="473"/>
        <v>0</v>
      </c>
      <c r="BO212" s="11">
        <v>0</v>
      </c>
      <c r="BP212" s="11">
        <v>0</v>
      </c>
      <c r="BQ212" s="11">
        <f t="shared" si="474"/>
        <v>0</v>
      </c>
      <c r="BR212" s="11">
        <v>0</v>
      </c>
      <c r="BS212" s="11">
        <v>0</v>
      </c>
      <c r="BT212" s="11">
        <v>0</v>
      </c>
      <c r="BU212" s="11">
        <v>0</v>
      </c>
      <c r="BV212" s="11">
        <v>0</v>
      </c>
      <c r="BW212" s="11">
        <v>0</v>
      </c>
      <c r="BX212" s="11">
        <v>0</v>
      </c>
      <c r="BY212" s="11">
        <v>0</v>
      </c>
      <c r="BZ212" s="11">
        <v>0</v>
      </c>
      <c r="CA212" s="11">
        <v>0</v>
      </c>
      <c r="CB212" s="11">
        <v>0</v>
      </c>
      <c r="CC212" s="11">
        <f t="shared" si="475"/>
        <v>0</v>
      </c>
      <c r="CD212" s="11">
        <f t="shared" si="476"/>
        <v>0</v>
      </c>
      <c r="CE212" s="11">
        <f t="shared" si="477"/>
        <v>0</v>
      </c>
      <c r="CF212" s="11">
        <v>0</v>
      </c>
      <c r="CG212" s="11">
        <v>0</v>
      </c>
      <c r="CH212" s="11">
        <f t="shared" si="478"/>
        <v>0</v>
      </c>
      <c r="CI212" s="11">
        <v>0</v>
      </c>
      <c r="CJ212" s="11">
        <v>0</v>
      </c>
      <c r="CK212" s="11">
        <v>0</v>
      </c>
      <c r="CL212" s="11">
        <v>0</v>
      </c>
      <c r="CM212" s="11">
        <f t="shared" si="479"/>
        <v>0</v>
      </c>
      <c r="CN212" s="11">
        <v>0</v>
      </c>
      <c r="CO212" s="11">
        <v>0</v>
      </c>
      <c r="CP212" s="11"/>
      <c r="CQ212" s="11">
        <v>0</v>
      </c>
      <c r="CR212" s="11">
        <v>0</v>
      </c>
      <c r="CS212" s="11">
        <v>0</v>
      </c>
      <c r="CT212" s="11">
        <v>0</v>
      </c>
      <c r="CU212" s="11">
        <f t="shared" si="480"/>
        <v>0</v>
      </c>
      <c r="CV212" s="11">
        <f t="shared" si="481"/>
        <v>0</v>
      </c>
      <c r="CW212" s="11">
        <v>0</v>
      </c>
      <c r="CX212" s="12">
        <v>0</v>
      </c>
    </row>
    <row r="213" spans="1:102" ht="15.75" x14ac:dyDescent="0.25">
      <c r="A213" s="13" t="s">
        <v>1</v>
      </c>
      <c r="B213" s="14" t="s">
        <v>1</v>
      </c>
      <c r="C213" s="26" t="s">
        <v>347</v>
      </c>
      <c r="D213" s="25" t="s">
        <v>461</v>
      </c>
      <c r="E213" s="10">
        <f t="shared" si="463"/>
        <v>2192029</v>
      </c>
      <c r="F213" s="11">
        <f t="shared" si="464"/>
        <v>2192029</v>
      </c>
      <c r="G213" s="11">
        <f t="shared" si="465"/>
        <v>2192029</v>
      </c>
      <c r="H213" s="11">
        <v>0</v>
      </c>
      <c r="I213" s="11">
        <v>0</v>
      </c>
      <c r="J213" s="11">
        <f t="shared" si="466"/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f t="shared" si="467"/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f t="shared" si="468"/>
        <v>2192029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6">
        <f>1383709+808320</f>
        <v>2192029</v>
      </c>
      <c r="AD213" s="11">
        <v>0</v>
      </c>
      <c r="AE213" s="11">
        <v>0</v>
      </c>
      <c r="AF213" s="11">
        <f t="shared" si="469"/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>
        <v>0</v>
      </c>
      <c r="AV213" s="11"/>
      <c r="AW213" s="11"/>
      <c r="AX213" s="11">
        <v>0</v>
      </c>
      <c r="AY213" s="11">
        <v>0</v>
      </c>
      <c r="AZ213" s="11">
        <v>0</v>
      </c>
      <c r="BA213" s="11">
        <v>0</v>
      </c>
      <c r="BB213" s="11">
        <v>0</v>
      </c>
      <c r="BC213" s="11">
        <f t="shared" si="470"/>
        <v>0</v>
      </c>
      <c r="BD213" s="11">
        <f t="shared" si="471"/>
        <v>0</v>
      </c>
      <c r="BE213" s="11">
        <v>0</v>
      </c>
      <c r="BF213" s="11">
        <v>0</v>
      </c>
      <c r="BG213" s="11">
        <v>0</v>
      </c>
      <c r="BH213" s="11">
        <f t="shared" si="472"/>
        <v>0</v>
      </c>
      <c r="BI213" s="11">
        <v>0</v>
      </c>
      <c r="BJ213" s="11">
        <v>0</v>
      </c>
      <c r="BK213" s="11">
        <v>0</v>
      </c>
      <c r="BL213" s="11">
        <v>0</v>
      </c>
      <c r="BM213" s="11">
        <v>0</v>
      </c>
      <c r="BN213" s="11">
        <f t="shared" si="473"/>
        <v>0</v>
      </c>
      <c r="BO213" s="11">
        <v>0</v>
      </c>
      <c r="BP213" s="11">
        <v>0</v>
      </c>
      <c r="BQ213" s="11">
        <f t="shared" si="474"/>
        <v>0</v>
      </c>
      <c r="BR213" s="11">
        <v>0</v>
      </c>
      <c r="BS213" s="11">
        <v>0</v>
      </c>
      <c r="BT213" s="11">
        <v>0</v>
      </c>
      <c r="BU213" s="11">
        <v>0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v>0</v>
      </c>
      <c r="CC213" s="11">
        <f t="shared" si="475"/>
        <v>0</v>
      </c>
      <c r="CD213" s="11">
        <f t="shared" si="476"/>
        <v>0</v>
      </c>
      <c r="CE213" s="11">
        <f t="shared" si="477"/>
        <v>0</v>
      </c>
      <c r="CF213" s="11">
        <v>0</v>
      </c>
      <c r="CG213" s="11">
        <v>0</v>
      </c>
      <c r="CH213" s="11">
        <f t="shared" si="478"/>
        <v>0</v>
      </c>
      <c r="CI213" s="11">
        <v>0</v>
      </c>
      <c r="CJ213" s="11">
        <v>0</v>
      </c>
      <c r="CK213" s="11">
        <v>0</v>
      </c>
      <c r="CL213" s="11">
        <v>0</v>
      </c>
      <c r="CM213" s="11">
        <f t="shared" si="479"/>
        <v>0</v>
      </c>
      <c r="CN213" s="11">
        <v>0</v>
      </c>
      <c r="CO213" s="11">
        <v>0</v>
      </c>
      <c r="CP213" s="11"/>
      <c r="CQ213" s="11">
        <v>0</v>
      </c>
      <c r="CR213" s="11">
        <v>0</v>
      </c>
      <c r="CS213" s="11">
        <v>0</v>
      </c>
      <c r="CT213" s="11">
        <v>0</v>
      </c>
      <c r="CU213" s="11">
        <f t="shared" si="480"/>
        <v>0</v>
      </c>
      <c r="CV213" s="11">
        <f t="shared" si="481"/>
        <v>0</v>
      </c>
      <c r="CW213" s="11">
        <v>0</v>
      </c>
      <c r="CX213" s="12">
        <v>0</v>
      </c>
    </row>
    <row r="214" spans="1:102" ht="15.75" x14ac:dyDescent="0.25">
      <c r="A214" s="13" t="s">
        <v>1</v>
      </c>
      <c r="B214" s="14" t="s">
        <v>1</v>
      </c>
      <c r="C214" s="26" t="s">
        <v>347</v>
      </c>
      <c r="D214" s="25" t="s">
        <v>462</v>
      </c>
      <c r="E214" s="10">
        <f t="shared" si="463"/>
        <v>415053</v>
      </c>
      <c r="F214" s="11">
        <f t="shared" si="464"/>
        <v>415053</v>
      </c>
      <c r="G214" s="11">
        <f t="shared" si="465"/>
        <v>415053</v>
      </c>
      <c r="H214" s="11">
        <v>0</v>
      </c>
      <c r="I214" s="11">
        <v>0</v>
      </c>
      <c r="J214" s="11">
        <f t="shared" si="466"/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f t="shared" si="467"/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f t="shared" si="468"/>
        <v>415053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6">
        <f>277694+137359</f>
        <v>415053</v>
      </c>
      <c r="AD214" s="11">
        <v>0</v>
      </c>
      <c r="AE214" s="11">
        <v>0</v>
      </c>
      <c r="AF214" s="11">
        <f t="shared" si="469"/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  <c r="AU214" s="11">
        <v>0</v>
      </c>
      <c r="AV214" s="11"/>
      <c r="AW214" s="11"/>
      <c r="AX214" s="11">
        <v>0</v>
      </c>
      <c r="AY214" s="11">
        <v>0</v>
      </c>
      <c r="AZ214" s="11">
        <v>0</v>
      </c>
      <c r="BA214" s="11">
        <v>0</v>
      </c>
      <c r="BB214" s="11">
        <v>0</v>
      </c>
      <c r="BC214" s="11">
        <f t="shared" si="470"/>
        <v>0</v>
      </c>
      <c r="BD214" s="11">
        <f t="shared" si="471"/>
        <v>0</v>
      </c>
      <c r="BE214" s="11">
        <v>0</v>
      </c>
      <c r="BF214" s="11">
        <v>0</v>
      </c>
      <c r="BG214" s="11">
        <v>0</v>
      </c>
      <c r="BH214" s="11">
        <f t="shared" si="472"/>
        <v>0</v>
      </c>
      <c r="BI214" s="11">
        <v>0</v>
      </c>
      <c r="BJ214" s="11">
        <v>0</v>
      </c>
      <c r="BK214" s="11">
        <v>0</v>
      </c>
      <c r="BL214" s="11">
        <v>0</v>
      </c>
      <c r="BM214" s="11">
        <v>0</v>
      </c>
      <c r="BN214" s="11">
        <f t="shared" si="473"/>
        <v>0</v>
      </c>
      <c r="BO214" s="11">
        <v>0</v>
      </c>
      <c r="BP214" s="11">
        <v>0</v>
      </c>
      <c r="BQ214" s="11">
        <f t="shared" si="474"/>
        <v>0</v>
      </c>
      <c r="BR214" s="11">
        <v>0</v>
      </c>
      <c r="BS214" s="11">
        <v>0</v>
      </c>
      <c r="BT214" s="11">
        <v>0</v>
      </c>
      <c r="BU214" s="11">
        <v>0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v>0</v>
      </c>
      <c r="CC214" s="11">
        <f t="shared" si="475"/>
        <v>0</v>
      </c>
      <c r="CD214" s="11">
        <f t="shared" si="476"/>
        <v>0</v>
      </c>
      <c r="CE214" s="11">
        <f t="shared" si="477"/>
        <v>0</v>
      </c>
      <c r="CF214" s="11">
        <v>0</v>
      </c>
      <c r="CG214" s="11">
        <v>0</v>
      </c>
      <c r="CH214" s="11">
        <f t="shared" si="478"/>
        <v>0</v>
      </c>
      <c r="CI214" s="11">
        <v>0</v>
      </c>
      <c r="CJ214" s="11">
        <v>0</v>
      </c>
      <c r="CK214" s="11">
        <v>0</v>
      </c>
      <c r="CL214" s="11">
        <v>0</v>
      </c>
      <c r="CM214" s="11">
        <f t="shared" si="479"/>
        <v>0</v>
      </c>
      <c r="CN214" s="11">
        <v>0</v>
      </c>
      <c r="CO214" s="11">
        <v>0</v>
      </c>
      <c r="CP214" s="11"/>
      <c r="CQ214" s="11">
        <v>0</v>
      </c>
      <c r="CR214" s="11">
        <v>0</v>
      </c>
      <c r="CS214" s="11">
        <v>0</v>
      </c>
      <c r="CT214" s="11">
        <v>0</v>
      </c>
      <c r="CU214" s="11">
        <f t="shared" si="480"/>
        <v>0</v>
      </c>
      <c r="CV214" s="11">
        <f t="shared" si="481"/>
        <v>0</v>
      </c>
      <c r="CW214" s="11">
        <v>0</v>
      </c>
      <c r="CX214" s="12">
        <v>0</v>
      </c>
    </row>
    <row r="215" spans="1:102" ht="15.75" x14ac:dyDescent="0.25">
      <c r="A215" s="13" t="s">
        <v>1</v>
      </c>
      <c r="B215" s="14" t="s">
        <v>1</v>
      </c>
      <c r="C215" s="26" t="s">
        <v>347</v>
      </c>
      <c r="D215" s="25" t="s">
        <v>463</v>
      </c>
      <c r="E215" s="10">
        <f t="shared" si="463"/>
        <v>4197672</v>
      </c>
      <c r="F215" s="11">
        <f t="shared" si="464"/>
        <v>4197672</v>
      </c>
      <c r="G215" s="11">
        <f t="shared" si="465"/>
        <v>4197672</v>
      </c>
      <c r="H215" s="11">
        <v>0</v>
      </c>
      <c r="I215" s="11">
        <v>0</v>
      </c>
      <c r="J215" s="11">
        <f t="shared" si="466"/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f t="shared" si="467"/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f t="shared" si="468"/>
        <v>4197672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6">
        <f>3520537+677135</f>
        <v>4197672</v>
      </c>
      <c r="AD215" s="11">
        <v>0</v>
      </c>
      <c r="AE215" s="11">
        <v>0</v>
      </c>
      <c r="AF215" s="11">
        <f t="shared" si="469"/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/>
      <c r="AW215" s="11"/>
      <c r="AX215" s="11">
        <v>0</v>
      </c>
      <c r="AY215" s="11">
        <v>0</v>
      </c>
      <c r="AZ215" s="11">
        <v>0</v>
      </c>
      <c r="BA215" s="11">
        <v>0</v>
      </c>
      <c r="BB215" s="11">
        <v>0</v>
      </c>
      <c r="BC215" s="11">
        <f t="shared" si="470"/>
        <v>0</v>
      </c>
      <c r="BD215" s="11">
        <f t="shared" si="471"/>
        <v>0</v>
      </c>
      <c r="BE215" s="11">
        <v>0</v>
      </c>
      <c r="BF215" s="11">
        <v>0</v>
      </c>
      <c r="BG215" s="11">
        <v>0</v>
      </c>
      <c r="BH215" s="11">
        <f t="shared" si="472"/>
        <v>0</v>
      </c>
      <c r="BI215" s="11">
        <v>0</v>
      </c>
      <c r="BJ215" s="11">
        <v>0</v>
      </c>
      <c r="BK215" s="11">
        <v>0</v>
      </c>
      <c r="BL215" s="11">
        <v>0</v>
      </c>
      <c r="BM215" s="11">
        <v>0</v>
      </c>
      <c r="BN215" s="11">
        <f t="shared" si="473"/>
        <v>0</v>
      </c>
      <c r="BO215" s="11">
        <v>0</v>
      </c>
      <c r="BP215" s="11">
        <v>0</v>
      </c>
      <c r="BQ215" s="11">
        <f t="shared" si="474"/>
        <v>0</v>
      </c>
      <c r="BR215" s="11">
        <v>0</v>
      </c>
      <c r="BS215" s="11">
        <v>0</v>
      </c>
      <c r="BT215" s="11">
        <v>0</v>
      </c>
      <c r="BU215" s="11">
        <v>0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v>0</v>
      </c>
      <c r="CC215" s="11">
        <f t="shared" si="475"/>
        <v>0</v>
      </c>
      <c r="CD215" s="11">
        <f t="shared" si="476"/>
        <v>0</v>
      </c>
      <c r="CE215" s="11">
        <f t="shared" si="477"/>
        <v>0</v>
      </c>
      <c r="CF215" s="11">
        <v>0</v>
      </c>
      <c r="CG215" s="11">
        <v>0</v>
      </c>
      <c r="CH215" s="11">
        <f t="shared" si="478"/>
        <v>0</v>
      </c>
      <c r="CI215" s="11">
        <v>0</v>
      </c>
      <c r="CJ215" s="11">
        <v>0</v>
      </c>
      <c r="CK215" s="11">
        <v>0</v>
      </c>
      <c r="CL215" s="11">
        <v>0</v>
      </c>
      <c r="CM215" s="11">
        <f t="shared" si="479"/>
        <v>0</v>
      </c>
      <c r="CN215" s="11">
        <v>0</v>
      </c>
      <c r="CO215" s="11">
        <v>0</v>
      </c>
      <c r="CP215" s="11"/>
      <c r="CQ215" s="11">
        <v>0</v>
      </c>
      <c r="CR215" s="11">
        <v>0</v>
      </c>
      <c r="CS215" s="11">
        <v>0</v>
      </c>
      <c r="CT215" s="11">
        <v>0</v>
      </c>
      <c r="CU215" s="11">
        <f t="shared" si="480"/>
        <v>0</v>
      </c>
      <c r="CV215" s="11">
        <f t="shared" si="481"/>
        <v>0</v>
      </c>
      <c r="CW215" s="11">
        <v>0</v>
      </c>
      <c r="CX215" s="12">
        <v>0</v>
      </c>
    </row>
    <row r="216" spans="1:102" ht="31.5" x14ac:dyDescent="0.25">
      <c r="A216" s="13" t="s">
        <v>1</v>
      </c>
      <c r="B216" s="14" t="s">
        <v>1</v>
      </c>
      <c r="C216" s="26" t="s">
        <v>347</v>
      </c>
      <c r="D216" s="25" t="s">
        <v>464</v>
      </c>
      <c r="E216" s="10">
        <f t="shared" si="463"/>
        <v>785905</v>
      </c>
      <c r="F216" s="11">
        <f t="shared" si="464"/>
        <v>785905</v>
      </c>
      <c r="G216" s="11">
        <f t="shared" si="465"/>
        <v>785905</v>
      </c>
      <c r="H216" s="11">
        <v>0</v>
      </c>
      <c r="I216" s="11">
        <v>0</v>
      </c>
      <c r="J216" s="11">
        <f t="shared" si="466"/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f t="shared" si="467"/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f t="shared" si="468"/>
        <v>785905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6">
        <f>764426+21479</f>
        <v>785905</v>
      </c>
      <c r="AD216" s="11">
        <v>0</v>
      </c>
      <c r="AE216" s="11">
        <v>0</v>
      </c>
      <c r="AF216" s="11">
        <f t="shared" si="469"/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/>
      <c r="AW216" s="11"/>
      <c r="AX216" s="11">
        <v>0</v>
      </c>
      <c r="AY216" s="11">
        <v>0</v>
      </c>
      <c r="AZ216" s="11">
        <v>0</v>
      </c>
      <c r="BA216" s="11">
        <v>0</v>
      </c>
      <c r="BB216" s="11">
        <v>0</v>
      </c>
      <c r="BC216" s="11">
        <f t="shared" si="470"/>
        <v>0</v>
      </c>
      <c r="BD216" s="11">
        <f t="shared" si="471"/>
        <v>0</v>
      </c>
      <c r="BE216" s="11">
        <v>0</v>
      </c>
      <c r="BF216" s="11">
        <v>0</v>
      </c>
      <c r="BG216" s="11">
        <v>0</v>
      </c>
      <c r="BH216" s="11">
        <f t="shared" si="472"/>
        <v>0</v>
      </c>
      <c r="BI216" s="11">
        <v>0</v>
      </c>
      <c r="BJ216" s="11">
        <v>0</v>
      </c>
      <c r="BK216" s="11">
        <v>0</v>
      </c>
      <c r="BL216" s="11">
        <v>0</v>
      </c>
      <c r="BM216" s="11">
        <v>0</v>
      </c>
      <c r="BN216" s="11">
        <f t="shared" si="473"/>
        <v>0</v>
      </c>
      <c r="BO216" s="11">
        <v>0</v>
      </c>
      <c r="BP216" s="11">
        <v>0</v>
      </c>
      <c r="BQ216" s="11">
        <f t="shared" si="474"/>
        <v>0</v>
      </c>
      <c r="BR216" s="11">
        <v>0</v>
      </c>
      <c r="BS216" s="11">
        <v>0</v>
      </c>
      <c r="BT216" s="11">
        <v>0</v>
      </c>
      <c r="BU216" s="11">
        <v>0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v>0</v>
      </c>
      <c r="CC216" s="11">
        <f t="shared" si="475"/>
        <v>0</v>
      </c>
      <c r="CD216" s="11">
        <f t="shared" si="476"/>
        <v>0</v>
      </c>
      <c r="CE216" s="11">
        <f t="shared" si="477"/>
        <v>0</v>
      </c>
      <c r="CF216" s="11">
        <v>0</v>
      </c>
      <c r="CG216" s="11">
        <v>0</v>
      </c>
      <c r="CH216" s="11">
        <f t="shared" si="478"/>
        <v>0</v>
      </c>
      <c r="CI216" s="11">
        <v>0</v>
      </c>
      <c r="CJ216" s="11">
        <v>0</v>
      </c>
      <c r="CK216" s="11">
        <v>0</v>
      </c>
      <c r="CL216" s="11">
        <v>0</v>
      </c>
      <c r="CM216" s="11">
        <f t="shared" si="479"/>
        <v>0</v>
      </c>
      <c r="CN216" s="11">
        <v>0</v>
      </c>
      <c r="CO216" s="11">
        <v>0</v>
      </c>
      <c r="CP216" s="11"/>
      <c r="CQ216" s="11">
        <v>0</v>
      </c>
      <c r="CR216" s="11">
        <v>0</v>
      </c>
      <c r="CS216" s="11">
        <v>0</v>
      </c>
      <c r="CT216" s="11">
        <v>0</v>
      </c>
      <c r="CU216" s="11">
        <f t="shared" si="480"/>
        <v>0</v>
      </c>
      <c r="CV216" s="11">
        <f t="shared" si="481"/>
        <v>0</v>
      </c>
      <c r="CW216" s="11">
        <v>0</v>
      </c>
      <c r="CX216" s="12">
        <v>0</v>
      </c>
    </row>
    <row r="217" spans="1:102" ht="31.5" x14ac:dyDescent="0.25">
      <c r="A217" s="13"/>
      <c r="B217" s="14"/>
      <c r="C217" s="26" t="s">
        <v>347</v>
      </c>
      <c r="D217" s="25" t="s">
        <v>465</v>
      </c>
      <c r="E217" s="10">
        <f t="shared" si="463"/>
        <v>4755522</v>
      </c>
      <c r="F217" s="11">
        <f t="shared" si="464"/>
        <v>4755522</v>
      </c>
      <c r="G217" s="11">
        <f t="shared" si="465"/>
        <v>4755522</v>
      </c>
      <c r="H217" s="11">
        <v>0</v>
      </c>
      <c r="I217" s="11">
        <v>0</v>
      </c>
      <c r="J217" s="11">
        <f t="shared" si="466"/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f t="shared" ref="Q217" si="482">SUM(R217:S217)</f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f t="shared" ref="V217" si="483">SUM(W217:AD217)</f>
        <v>4755522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6">
        <f>5271698-516176</f>
        <v>4755522</v>
      </c>
      <c r="AD217" s="11">
        <v>0</v>
      </c>
      <c r="AE217" s="11">
        <v>0</v>
      </c>
      <c r="AF217" s="11">
        <f t="shared" si="469"/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/>
      <c r="AW217" s="11"/>
      <c r="AX217" s="11">
        <v>0</v>
      </c>
      <c r="AY217" s="11">
        <v>0</v>
      </c>
      <c r="AZ217" s="11">
        <v>0</v>
      </c>
      <c r="BA217" s="11">
        <v>0</v>
      </c>
      <c r="BB217" s="11">
        <v>0</v>
      </c>
      <c r="BC217" s="11">
        <f t="shared" ref="BC217" si="484">SUM(BD217+BH217+BL217+BN217+BQ217)</f>
        <v>0</v>
      </c>
      <c r="BD217" s="11">
        <f t="shared" ref="BD217" si="485">SUM(BE217:BG217)</f>
        <v>0</v>
      </c>
      <c r="BE217" s="11">
        <v>0</v>
      </c>
      <c r="BF217" s="11">
        <v>0</v>
      </c>
      <c r="BG217" s="11">
        <v>0</v>
      </c>
      <c r="BH217" s="11">
        <f t="shared" ref="BH217" si="486">SUM(BJ217:BK217)</f>
        <v>0</v>
      </c>
      <c r="BI217" s="11">
        <v>0</v>
      </c>
      <c r="BJ217" s="11">
        <v>0</v>
      </c>
      <c r="BK217" s="11">
        <v>0</v>
      </c>
      <c r="BL217" s="11">
        <v>0</v>
      </c>
      <c r="BM217" s="11">
        <v>0</v>
      </c>
      <c r="BN217" s="11">
        <f t="shared" ref="BN217" si="487">SUM(BO217)</f>
        <v>0</v>
      </c>
      <c r="BO217" s="11">
        <v>0</v>
      </c>
      <c r="BP217" s="11">
        <v>0</v>
      </c>
      <c r="BQ217" s="11">
        <f t="shared" ref="BQ217" si="488">SUM(BR217:CB217)</f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f t="shared" si="475"/>
        <v>0</v>
      </c>
      <c r="CD217" s="11">
        <f t="shared" ref="CD217" si="489">SUM(CE217+CH217+CM217)</f>
        <v>0</v>
      </c>
      <c r="CE217" s="11">
        <f t="shared" ref="CE217" si="490">SUM(CF217:CG217)</f>
        <v>0</v>
      </c>
      <c r="CF217" s="11">
        <v>0</v>
      </c>
      <c r="CG217" s="11">
        <v>0</v>
      </c>
      <c r="CH217" s="11">
        <f t="shared" ref="CH217" si="491">SUM(CI217:CL217)</f>
        <v>0</v>
      </c>
      <c r="CI217" s="11">
        <v>0</v>
      </c>
      <c r="CJ217" s="11">
        <v>0</v>
      </c>
      <c r="CK217" s="11">
        <v>0</v>
      </c>
      <c r="CL217" s="11">
        <v>0</v>
      </c>
      <c r="CM217" s="11">
        <f t="shared" si="479"/>
        <v>0</v>
      </c>
      <c r="CN217" s="11">
        <v>0</v>
      </c>
      <c r="CO217" s="11">
        <v>0</v>
      </c>
      <c r="CP217" s="11"/>
      <c r="CQ217" s="11">
        <v>0</v>
      </c>
      <c r="CR217" s="11">
        <v>0</v>
      </c>
      <c r="CS217" s="11">
        <v>0</v>
      </c>
      <c r="CT217" s="11">
        <v>0</v>
      </c>
      <c r="CU217" s="11">
        <f t="shared" ref="CU217" si="492">SUM(CV217)</f>
        <v>0</v>
      </c>
      <c r="CV217" s="11">
        <f t="shared" ref="CV217" si="493">SUM(CW217:CX217)</f>
        <v>0</v>
      </c>
      <c r="CW217" s="11">
        <v>0</v>
      </c>
      <c r="CX217" s="12">
        <v>0</v>
      </c>
    </row>
    <row r="218" spans="1:102" ht="47.25" x14ac:dyDescent="0.25">
      <c r="A218" s="13" t="s">
        <v>1</v>
      </c>
      <c r="B218" s="14" t="s">
        <v>1</v>
      </c>
      <c r="C218" s="46" t="s">
        <v>113</v>
      </c>
      <c r="D218" s="45" t="s">
        <v>623</v>
      </c>
      <c r="E218" s="10">
        <f t="shared" si="463"/>
        <v>1662029</v>
      </c>
      <c r="F218" s="11">
        <f t="shared" si="464"/>
        <v>1662029</v>
      </c>
      <c r="G218" s="11">
        <f t="shared" si="465"/>
        <v>1662029</v>
      </c>
      <c r="H218" s="11">
        <v>0</v>
      </c>
      <c r="I218" s="11">
        <v>0</v>
      </c>
      <c r="J218" s="11">
        <f t="shared" si="466"/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f t="shared" si="467"/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f t="shared" si="468"/>
        <v>1662029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6">
        <f>0+1662029</f>
        <v>1662029</v>
      </c>
      <c r="AD218" s="11">
        <v>0</v>
      </c>
      <c r="AE218" s="11">
        <v>0</v>
      </c>
      <c r="AF218" s="11">
        <f t="shared" si="469"/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  <c r="AU218" s="11">
        <v>0</v>
      </c>
      <c r="AV218" s="11"/>
      <c r="AW218" s="11"/>
      <c r="AX218" s="11">
        <v>0</v>
      </c>
      <c r="AY218" s="11">
        <v>0</v>
      </c>
      <c r="AZ218" s="11">
        <v>0</v>
      </c>
      <c r="BA218" s="11">
        <v>0</v>
      </c>
      <c r="BB218" s="11">
        <v>0</v>
      </c>
      <c r="BC218" s="11">
        <f t="shared" si="470"/>
        <v>0</v>
      </c>
      <c r="BD218" s="11">
        <f t="shared" si="471"/>
        <v>0</v>
      </c>
      <c r="BE218" s="11">
        <v>0</v>
      </c>
      <c r="BF218" s="11">
        <v>0</v>
      </c>
      <c r="BG218" s="11">
        <v>0</v>
      </c>
      <c r="BH218" s="11">
        <f t="shared" si="472"/>
        <v>0</v>
      </c>
      <c r="BI218" s="11">
        <v>0</v>
      </c>
      <c r="BJ218" s="11">
        <v>0</v>
      </c>
      <c r="BK218" s="11">
        <v>0</v>
      </c>
      <c r="BL218" s="11">
        <v>0</v>
      </c>
      <c r="BM218" s="11">
        <v>0</v>
      </c>
      <c r="BN218" s="11">
        <f t="shared" si="473"/>
        <v>0</v>
      </c>
      <c r="BO218" s="11">
        <v>0</v>
      </c>
      <c r="BP218" s="11">
        <v>0</v>
      </c>
      <c r="BQ218" s="11">
        <f t="shared" si="474"/>
        <v>0</v>
      </c>
      <c r="BR218" s="11">
        <v>0</v>
      </c>
      <c r="BS218" s="11">
        <v>0</v>
      </c>
      <c r="BT218" s="11">
        <v>0</v>
      </c>
      <c r="BU218" s="11">
        <v>0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f t="shared" si="475"/>
        <v>0</v>
      </c>
      <c r="CD218" s="11">
        <f t="shared" si="476"/>
        <v>0</v>
      </c>
      <c r="CE218" s="11">
        <f t="shared" si="477"/>
        <v>0</v>
      </c>
      <c r="CF218" s="11">
        <v>0</v>
      </c>
      <c r="CG218" s="11">
        <v>0</v>
      </c>
      <c r="CH218" s="11">
        <f t="shared" si="478"/>
        <v>0</v>
      </c>
      <c r="CI218" s="11">
        <v>0</v>
      </c>
      <c r="CJ218" s="11">
        <v>0</v>
      </c>
      <c r="CK218" s="11">
        <v>0</v>
      </c>
      <c r="CL218" s="11">
        <v>0</v>
      </c>
      <c r="CM218" s="11">
        <f t="shared" si="479"/>
        <v>0</v>
      </c>
      <c r="CN218" s="11">
        <v>0</v>
      </c>
      <c r="CO218" s="11">
        <v>0</v>
      </c>
      <c r="CP218" s="11"/>
      <c r="CQ218" s="11">
        <v>0</v>
      </c>
      <c r="CR218" s="11">
        <v>0</v>
      </c>
      <c r="CS218" s="11">
        <v>0</v>
      </c>
      <c r="CT218" s="11">
        <v>0</v>
      </c>
      <c r="CU218" s="11">
        <f t="shared" si="480"/>
        <v>0</v>
      </c>
      <c r="CV218" s="11">
        <f t="shared" si="481"/>
        <v>0</v>
      </c>
      <c r="CW218" s="11">
        <v>0</v>
      </c>
      <c r="CX218" s="12">
        <v>0</v>
      </c>
    </row>
    <row r="219" spans="1:102" ht="31.5" x14ac:dyDescent="0.25">
      <c r="A219" s="18" t="s">
        <v>348</v>
      </c>
      <c r="B219" s="19" t="s">
        <v>1</v>
      </c>
      <c r="C219" s="19" t="s">
        <v>1</v>
      </c>
      <c r="D219" s="20" t="s">
        <v>349</v>
      </c>
      <c r="E219" s="21">
        <f>SUM(E220)</f>
        <v>4000</v>
      </c>
      <c r="F219" s="22">
        <f t="shared" ref="F219:BW223" si="494">SUM(F220)</f>
        <v>0</v>
      </c>
      <c r="G219" s="22">
        <f t="shared" si="494"/>
        <v>0</v>
      </c>
      <c r="H219" s="22">
        <f t="shared" si="494"/>
        <v>0</v>
      </c>
      <c r="I219" s="22">
        <f t="shared" si="494"/>
        <v>0</v>
      </c>
      <c r="J219" s="22">
        <f t="shared" si="494"/>
        <v>0</v>
      </c>
      <c r="K219" s="22">
        <f t="shared" si="494"/>
        <v>0</v>
      </c>
      <c r="L219" s="22">
        <f t="shared" si="494"/>
        <v>0</v>
      </c>
      <c r="M219" s="22">
        <f t="shared" si="494"/>
        <v>0</v>
      </c>
      <c r="N219" s="22">
        <f t="shared" si="494"/>
        <v>0</v>
      </c>
      <c r="O219" s="22">
        <f t="shared" si="494"/>
        <v>0</v>
      </c>
      <c r="P219" s="22">
        <f t="shared" si="494"/>
        <v>0</v>
      </c>
      <c r="Q219" s="22">
        <f t="shared" si="494"/>
        <v>0</v>
      </c>
      <c r="R219" s="22">
        <f t="shared" si="494"/>
        <v>0</v>
      </c>
      <c r="S219" s="22">
        <f t="shared" si="494"/>
        <v>0</v>
      </c>
      <c r="T219" s="22">
        <f t="shared" si="494"/>
        <v>0</v>
      </c>
      <c r="U219" s="22">
        <f t="shared" si="494"/>
        <v>0</v>
      </c>
      <c r="V219" s="22">
        <f t="shared" si="494"/>
        <v>0</v>
      </c>
      <c r="W219" s="22">
        <f t="shared" si="494"/>
        <v>0</v>
      </c>
      <c r="X219" s="22">
        <f t="shared" si="494"/>
        <v>0</v>
      </c>
      <c r="Y219" s="22">
        <f t="shared" si="494"/>
        <v>0</v>
      </c>
      <c r="Z219" s="22">
        <f t="shared" si="494"/>
        <v>0</v>
      </c>
      <c r="AA219" s="22">
        <f t="shared" si="494"/>
        <v>0</v>
      </c>
      <c r="AB219" s="22">
        <f t="shared" si="494"/>
        <v>0</v>
      </c>
      <c r="AC219" s="22">
        <f t="shared" si="494"/>
        <v>0</v>
      </c>
      <c r="AD219" s="22">
        <f t="shared" si="494"/>
        <v>0</v>
      </c>
      <c r="AE219" s="22">
        <f t="shared" si="494"/>
        <v>0</v>
      </c>
      <c r="AF219" s="22">
        <f t="shared" si="494"/>
        <v>0</v>
      </c>
      <c r="AG219" s="22">
        <f t="shared" si="494"/>
        <v>0</v>
      </c>
      <c r="AH219" s="22">
        <f t="shared" si="494"/>
        <v>0</v>
      </c>
      <c r="AI219" s="22">
        <f t="shared" si="494"/>
        <v>0</v>
      </c>
      <c r="AJ219" s="22">
        <f t="shared" si="494"/>
        <v>0</v>
      </c>
      <c r="AK219" s="22">
        <f t="shared" si="494"/>
        <v>0</v>
      </c>
      <c r="AL219" s="22">
        <f t="shared" si="494"/>
        <v>0</v>
      </c>
      <c r="AM219" s="22">
        <f t="shared" si="494"/>
        <v>0</v>
      </c>
      <c r="AN219" s="22">
        <f t="shared" si="494"/>
        <v>0</v>
      </c>
      <c r="AO219" s="22">
        <f t="shared" si="494"/>
        <v>0</v>
      </c>
      <c r="AP219" s="22">
        <f t="shared" si="494"/>
        <v>0</v>
      </c>
      <c r="AQ219" s="22">
        <f t="shared" si="494"/>
        <v>0</v>
      </c>
      <c r="AR219" s="22">
        <f t="shared" ref="AR219:AR223" si="495">SUM(AR220)</f>
        <v>0</v>
      </c>
      <c r="AS219" s="22">
        <f t="shared" si="494"/>
        <v>0</v>
      </c>
      <c r="AT219" s="22">
        <f t="shared" si="494"/>
        <v>0</v>
      </c>
      <c r="AU219" s="22">
        <f t="shared" si="494"/>
        <v>0</v>
      </c>
      <c r="AV219" s="22"/>
      <c r="AW219" s="22"/>
      <c r="AX219" s="22">
        <f t="shared" si="494"/>
        <v>0</v>
      </c>
      <c r="AY219" s="22">
        <f t="shared" si="494"/>
        <v>0</v>
      </c>
      <c r="AZ219" s="22">
        <f t="shared" si="494"/>
        <v>0</v>
      </c>
      <c r="BA219" s="22">
        <f>SUM(BA220)</f>
        <v>0</v>
      </c>
      <c r="BB219" s="22">
        <f t="shared" si="494"/>
        <v>0</v>
      </c>
      <c r="BC219" s="22">
        <f t="shared" si="494"/>
        <v>0</v>
      </c>
      <c r="BD219" s="22">
        <f t="shared" si="494"/>
        <v>0</v>
      </c>
      <c r="BE219" s="22">
        <f t="shared" si="494"/>
        <v>0</v>
      </c>
      <c r="BF219" s="22">
        <f t="shared" si="494"/>
        <v>0</v>
      </c>
      <c r="BG219" s="22">
        <f t="shared" si="494"/>
        <v>0</v>
      </c>
      <c r="BH219" s="22">
        <f t="shared" si="494"/>
        <v>0</v>
      </c>
      <c r="BI219" s="22">
        <f t="shared" si="494"/>
        <v>0</v>
      </c>
      <c r="BJ219" s="22">
        <f t="shared" si="494"/>
        <v>0</v>
      </c>
      <c r="BK219" s="22">
        <f t="shared" si="494"/>
        <v>0</v>
      </c>
      <c r="BL219" s="22">
        <f t="shared" si="494"/>
        <v>0</v>
      </c>
      <c r="BM219" s="22">
        <f t="shared" si="494"/>
        <v>0</v>
      </c>
      <c r="BN219" s="22">
        <f t="shared" si="494"/>
        <v>0</v>
      </c>
      <c r="BO219" s="22">
        <f t="shared" si="494"/>
        <v>0</v>
      </c>
      <c r="BP219" s="22">
        <f t="shared" ref="BP219:BP223" si="496">SUM(BP220)</f>
        <v>0</v>
      </c>
      <c r="BQ219" s="22">
        <f t="shared" si="494"/>
        <v>0</v>
      </c>
      <c r="BR219" s="22">
        <f t="shared" si="494"/>
        <v>0</v>
      </c>
      <c r="BS219" s="22">
        <f t="shared" si="494"/>
        <v>0</v>
      </c>
      <c r="BT219" s="22">
        <f t="shared" si="494"/>
        <v>0</v>
      </c>
      <c r="BU219" s="22">
        <f t="shared" si="494"/>
        <v>0</v>
      </c>
      <c r="BV219" s="22">
        <f t="shared" si="494"/>
        <v>0</v>
      </c>
      <c r="BW219" s="22">
        <f t="shared" si="494"/>
        <v>0</v>
      </c>
      <c r="BX219" s="22">
        <f t="shared" ref="BX219:CX223" si="497">SUM(BX220)</f>
        <v>0</v>
      </c>
      <c r="BY219" s="22">
        <f t="shared" si="497"/>
        <v>0</v>
      </c>
      <c r="BZ219" s="22">
        <f t="shared" si="497"/>
        <v>0</v>
      </c>
      <c r="CA219" s="22">
        <f t="shared" si="497"/>
        <v>0</v>
      </c>
      <c r="CB219" s="22">
        <f t="shared" si="497"/>
        <v>0</v>
      </c>
      <c r="CC219" s="22">
        <f t="shared" si="497"/>
        <v>0</v>
      </c>
      <c r="CD219" s="22">
        <f t="shared" si="497"/>
        <v>0</v>
      </c>
      <c r="CE219" s="22">
        <f t="shared" si="497"/>
        <v>0</v>
      </c>
      <c r="CF219" s="22">
        <f t="shared" si="497"/>
        <v>0</v>
      </c>
      <c r="CG219" s="22">
        <f t="shared" si="497"/>
        <v>0</v>
      </c>
      <c r="CH219" s="22">
        <f t="shared" si="497"/>
        <v>0</v>
      </c>
      <c r="CI219" s="22">
        <f t="shared" si="497"/>
        <v>0</v>
      </c>
      <c r="CJ219" s="22">
        <f t="shared" si="497"/>
        <v>0</v>
      </c>
      <c r="CK219" s="22">
        <f t="shared" si="497"/>
        <v>0</v>
      </c>
      <c r="CL219" s="22">
        <f t="shared" si="497"/>
        <v>0</v>
      </c>
      <c r="CM219" s="22">
        <f t="shared" si="497"/>
        <v>0</v>
      </c>
      <c r="CN219" s="22">
        <f t="shared" si="497"/>
        <v>0</v>
      </c>
      <c r="CO219" s="22">
        <f t="shared" si="497"/>
        <v>0</v>
      </c>
      <c r="CP219" s="22"/>
      <c r="CQ219" s="22">
        <f t="shared" si="497"/>
        <v>0</v>
      </c>
      <c r="CR219" s="22">
        <f t="shared" si="497"/>
        <v>0</v>
      </c>
      <c r="CS219" s="22">
        <f t="shared" si="497"/>
        <v>0</v>
      </c>
      <c r="CT219" s="22">
        <f t="shared" si="497"/>
        <v>0</v>
      </c>
      <c r="CU219" s="22">
        <f t="shared" si="497"/>
        <v>4000</v>
      </c>
      <c r="CV219" s="22">
        <f t="shared" si="497"/>
        <v>4000</v>
      </c>
      <c r="CW219" s="22">
        <f t="shared" si="497"/>
        <v>4000</v>
      </c>
      <c r="CX219" s="23">
        <f t="shared" si="497"/>
        <v>0</v>
      </c>
    </row>
    <row r="220" spans="1:102" ht="15.75" x14ac:dyDescent="0.25">
      <c r="A220" s="7"/>
      <c r="B220" s="8" t="s">
        <v>350</v>
      </c>
      <c r="C220" s="8" t="s">
        <v>1</v>
      </c>
      <c r="D220" s="9" t="s">
        <v>351</v>
      </c>
      <c r="E220" s="10">
        <f>SUM(E221)</f>
        <v>4000</v>
      </c>
      <c r="F220" s="11">
        <f t="shared" si="494"/>
        <v>0</v>
      </c>
      <c r="G220" s="11">
        <f t="shared" si="494"/>
        <v>0</v>
      </c>
      <c r="H220" s="11">
        <f t="shared" si="494"/>
        <v>0</v>
      </c>
      <c r="I220" s="11">
        <f t="shared" si="494"/>
        <v>0</v>
      </c>
      <c r="J220" s="11">
        <f t="shared" si="494"/>
        <v>0</v>
      </c>
      <c r="K220" s="11">
        <f t="shared" si="494"/>
        <v>0</v>
      </c>
      <c r="L220" s="11">
        <f t="shared" si="494"/>
        <v>0</v>
      </c>
      <c r="M220" s="11">
        <f t="shared" si="494"/>
        <v>0</v>
      </c>
      <c r="N220" s="11">
        <f t="shared" si="494"/>
        <v>0</v>
      </c>
      <c r="O220" s="11">
        <f t="shared" si="494"/>
        <v>0</v>
      </c>
      <c r="P220" s="11">
        <f t="shared" si="494"/>
        <v>0</v>
      </c>
      <c r="Q220" s="11">
        <f t="shared" si="494"/>
        <v>0</v>
      </c>
      <c r="R220" s="11">
        <f t="shared" si="494"/>
        <v>0</v>
      </c>
      <c r="S220" s="11">
        <f t="shared" si="494"/>
        <v>0</v>
      </c>
      <c r="T220" s="11">
        <f t="shared" si="494"/>
        <v>0</v>
      </c>
      <c r="U220" s="11">
        <f t="shared" si="494"/>
        <v>0</v>
      </c>
      <c r="V220" s="11">
        <f t="shared" si="494"/>
        <v>0</v>
      </c>
      <c r="W220" s="11">
        <f t="shared" si="494"/>
        <v>0</v>
      </c>
      <c r="X220" s="11">
        <f t="shared" si="494"/>
        <v>0</v>
      </c>
      <c r="Y220" s="11">
        <f t="shared" si="494"/>
        <v>0</v>
      </c>
      <c r="Z220" s="11">
        <f t="shared" si="494"/>
        <v>0</v>
      </c>
      <c r="AA220" s="11">
        <f t="shared" si="494"/>
        <v>0</v>
      </c>
      <c r="AB220" s="11">
        <f t="shared" si="494"/>
        <v>0</v>
      </c>
      <c r="AC220" s="11">
        <f t="shared" si="494"/>
        <v>0</v>
      </c>
      <c r="AD220" s="11">
        <f t="shared" si="494"/>
        <v>0</v>
      </c>
      <c r="AE220" s="11">
        <f t="shared" si="494"/>
        <v>0</v>
      </c>
      <c r="AF220" s="11">
        <f t="shared" si="494"/>
        <v>0</v>
      </c>
      <c r="AG220" s="11">
        <f t="shared" si="494"/>
        <v>0</v>
      </c>
      <c r="AH220" s="11">
        <f t="shared" si="494"/>
        <v>0</v>
      </c>
      <c r="AI220" s="11">
        <f t="shared" si="494"/>
        <v>0</v>
      </c>
      <c r="AJ220" s="11">
        <f t="shared" si="494"/>
        <v>0</v>
      </c>
      <c r="AK220" s="11">
        <f t="shared" si="494"/>
        <v>0</v>
      </c>
      <c r="AL220" s="11">
        <f t="shared" si="494"/>
        <v>0</v>
      </c>
      <c r="AM220" s="11">
        <f t="shared" si="494"/>
        <v>0</v>
      </c>
      <c r="AN220" s="11">
        <f t="shared" si="494"/>
        <v>0</v>
      </c>
      <c r="AO220" s="11">
        <f t="shared" si="494"/>
        <v>0</v>
      </c>
      <c r="AP220" s="11">
        <f t="shared" si="494"/>
        <v>0</v>
      </c>
      <c r="AQ220" s="11">
        <f t="shared" si="494"/>
        <v>0</v>
      </c>
      <c r="AR220" s="11">
        <f t="shared" si="495"/>
        <v>0</v>
      </c>
      <c r="AS220" s="11">
        <f t="shared" si="494"/>
        <v>0</v>
      </c>
      <c r="AT220" s="11">
        <f t="shared" si="494"/>
        <v>0</v>
      </c>
      <c r="AU220" s="11">
        <f t="shared" si="494"/>
        <v>0</v>
      </c>
      <c r="AV220" s="11"/>
      <c r="AW220" s="11"/>
      <c r="AX220" s="11">
        <f t="shared" si="494"/>
        <v>0</v>
      </c>
      <c r="AY220" s="11">
        <f t="shared" si="494"/>
        <v>0</v>
      </c>
      <c r="AZ220" s="11">
        <f t="shared" si="494"/>
        <v>0</v>
      </c>
      <c r="BA220" s="11">
        <f>SUM(BA221)</f>
        <v>0</v>
      </c>
      <c r="BB220" s="11">
        <f t="shared" si="494"/>
        <v>0</v>
      </c>
      <c r="BC220" s="11">
        <f t="shared" si="494"/>
        <v>0</v>
      </c>
      <c r="BD220" s="11">
        <f t="shared" si="494"/>
        <v>0</v>
      </c>
      <c r="BE220" s="11">
        <f t="shared" si="494"/>
        <v>0</v>
      </c>
      <c r="BF220" s="11">
        <f t="shared" si="494"/>
        <v>0</v>
      </c>
      <c r="BG220" s="11">
        <f t="shared" si="494"/>
        <v>0</v>
      </c>
      <c r="BH220" s="11">
        <f t="shared" si="494"/>
        <v>0</v>
      </c>
      <c r="BI220" s="11">
        <f t="shared" si="494"/>
        <v>0</v>
      </c>
      <c r="BJ220" s="11">
        <f t="shared" si="494"/>
        <v>0</v>
      </c>
      <c r="BK220" s="11">
        <f t="shared" si="494"/>
        <v>0</v>
      </c>
      <c r="BL220" s="11">
        <f t="shared" si="494"/>
        <v>0</v>
      </c>
      <c r="BM220" s="11">
        <f t="shared" si="494"/>
        <v>0</v>
      </c>
      <c r="BN220" s="11">
        <f t="shared" si="494"/>
        <v>0</v>
      </c>
      <c r="BO220" s="11">
        <f t="shared" si="494"/>
        <v>0</v>
      </c>
      <c r="BP220" s="11">
        <f t="shared" si="496"/>
        <v>0</v>
      </c>
      <c r="BQ220" s="11">
        <f t="shared" si="494"/>
        <v>0</v>
      </c>
      <c r="BR220" s="11">
        <f t="shared" si="494"/>
        <v>0</v>
      </c>
      <c r="BS220" s="11">
        <f t="shared" si="494"/>
        <v>0</v>
      </c>
      <c r="BT220" s="11">
        <f t="shared" si="494"/>
        <v>0</v>
      </c>
      <c r="BU220" s="11">
        <f t="shared" si="494"/>
        <v>0</v>
      </c>
      <c r="BV220" s="11">
        <f t="shared" si="494"/>
        <v>0</v>
      </c>
      <c r="BW220" s="11">
        <f t="shared" si="494"/>
        <v>0</v>
      </c>
      <c r="BX220" s="11">
        <f t="shared" si="497"/>
        <v>0</v>
      </c>
      <c r="BY220" s="11">
        <f t="shared" si="497"/>
        <v>0</v>
      </c>
      <c r="BZ220" s="11">
        <f t="shared" si="497"/>
        <v>0</v>
      </c>
      <c r="CA220" s="11">
        <f t="shared" si="497"/>
        <v>0</v>
      </c>
      <c r="CB220" s="11">
        <f t="shared" si="497"/>
        <v>0</v>
      </c>
      <c r="CC220" s="11">
        <f t="shared" si="497"/>
        <v>0</v>
      </c>
      <c r="CD220" s="11">
        <f t="shared" si="497"/>
        <v>0</v>
      </c>
      <c r="CE220" s="11">
        <f t="shared" si="497"/>
        <v>0</v>
      </c>
      <c r="CF220" s="11">
        <f t="shared" si="497"/>
        <v>0</v>
      </c>
      <c r="CG220" s="11">
        <f t="shared" si="497"/>
        <v>0</v>
      </c>
      <c r="CH220" s="11">
        <f t="shared" si="497"/>
        <v>0</v>
      </c>
      <c r="CI220" s="11">
        <f t="shared" si="497"/>
        <v>0</v>
      </c>
      <c r="CJ220" s="11">
        <f t="shared" si="497"/>
        <v>0</v>
      </c>
      <c r="CK220" s="11">
        <f t="shared" si="497"/>
        <v>0</v>
      </c>
      <c r="CL220" s="11">
        <f t="shared" si="497"/>
        <v>0</v>
      </c>
      <c r="CM220" s="11">
        <f t="shared" si="497"/>
        <v>0</v>
      </c>
      <c r="CN220" s="11">
        <f t="shared" si="497"/>
        <v>0</v>
      </c>
      <c r="CO220" s="11">
        <f t="shared" si="497"/>
        <v>0</v>
      </c>
      <c r="CP220" s="11"/>
      <c r="CQ220" s="11">
        <f t="shared" si="497"/>
        <v>0</v>
      </c>
      <c r="CR220" s="11">
        <f t="shared" si="497"/>
        <v>0</v>
      </c>
      <c r="CS220" s="11">
        <f t="shared" si="497"/>
        <v>0</v>
      </c>
      <c r="CT220" s="11">
        <f t="shared" si="497"/>
        <v>0</v>
      </c>
      <c r="CU220" s="11">
        <f t="shared" si="497"/>
        <v>4000</v>
      </c>
      <c r="CV220" s="11">
        <f t="shared" si="497"/>
        <v>4000</v>
      </c>
      <c r="CW220" s="11">
        <f t="shared" si="497"/>
        <v>4000</v>
      </c>
      <c r="CX220" s="12">
        <f t="shared" si="497"/>
        <v>0</v>
      </c>
    </row>
    <row r="221" spans="1:102" ht="15.75" x14ac:dyDescent="0.25">
      <c r="A221" s="13" t="s">
        <v>1</v>
      </c>
      <c r="B221" s="14" t="s">
        <v>1</v>
      </c>
      <c r="C221" s="14" t="s">
        <v>109</v>
      </c>
      <c r="D221" s="15" t="s">
        <v>351</v>
      </c>
      <c r="E221" s="10">
        <f>SUM(F221+CC221+CU221)</f>
        <v>4000</v>
      </c>
      <c r="F221" s="11">
        <f>SUM(G221+BC221)</f>
        <v>0</v>
      </c>
      <c r="G221" s="11">
        <f>SUM(H221+I221+J221+Q221+T221+U221+V221+AF221+AE221)</f>
        <v>0</v>
      </c>
      <c r="H221" s="11">
        <v>0</v>
      </c>
      <c r="I221" s="11">
        <v>0</v>
      </c>
      <c r="J221" s="11">
        <f>SUM(K221:P221)</f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f t="shared" si="334"/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f t="shared" ref="V221" si="498">SUM(W221:AD221)</f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f>SUM(AG221:BB221)</f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/>
      <c r="AW221" s="11"/>
      <c r="AX221" s="11">
        <v>0</v>
      </c>
      <c r="AY221" s="11">
        <v>0</v>
      </c>
      <c r="AZ221" s="11">
        <v>0</v>
      </c>
      <c r="BA221" s="11">
        <v>0</v>
      </c>
      <c r="BB221" s="11">
        <v>0</v>
      </c>
      <c r="BC221" s="11">
        <f>SUM(BD221+BH221+BL221+BN221+BQ221)</f>
        <v>0</v>
      </c>
      <c r="BD221" s="11">
        <f>SUM(BE221:BG221)</f>
        <v>0</v>
      </c>
      <c r="BE221" s="11">
        <v>0</v>
      </c>
      <c r="BF221" s="11">
        <v>0</v>
      </c>
      <c r="BG221" s="11">
        <v>0</v>
      </c>
      <c r="BH221" s="11">
        <f t="shared" si="336"/>
        <v>0</v>
      </c>
      <c r="BI221" s="11">
        <v>0</v>
      </c>
      <c r="BJ221" s="11">
        <v>0</v>
      </c>
      <c r="BK221" s="11">
        <v>0</v>
      </c>
      <c r="BL221" s="11">
        <v>0</v>
      </c>
      <c r="BM221" s="11">
        <v>0</v>
      </c>
      <c r="BN221" s="11">
        <f t="shared" si="337"/>
        <v>0</v>
      </c>
      <c r="BO221" s="11">
        <v>0</v>
      </c>
      <c r="BP221" s="11">
        <v>0</v>
      </c>
      <c r="BQ221" s="11">
        <f t="shared" si="338"/>
        <v>0</v>
      </c>
      <c r="BR221" s="11">
        <v>0</v>
      </c>
      <c r="BS221" s="11">
        <v>0</v>
      </c>
      <c r="BT221" s="11">
        <v>0</v>
      </c>
      <c r="BU221" s="11">
        <v>0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f>SUM(CD221+CT221)</f>
        <v>0</v>
      </c>
      <c r="CD221" s="11">
        <f>SUM(CE221+CH221+CM221)</f>
        <v>0</v>
      </c>
      <c r="CE221" s="11">
        <f t="shared" si="339"/>
        <v>0</v>
      </c>
      <c r="CF221" s="11">
        <v>0</v>
      </c>
      <c r="CG221" s="11">
        <v>0</v>
      </c>
      <c r="CH221" s="11">
        <f>SUM(CI221:CL221)</f>
        <v>0</v>
      </c>
      <c r="CI221" s="11">
        <v>0</v>
      </c>
      <c r="CJ221" s="11">
        <v>0</v>
      </c>
      <c r="CK221" s="11">
        <v>0</v>
      </c>
      <c r="CL221" s="11">
        <v>0</v>
      </c>
      <c r="CM221" s="11">
        <f>SUM(CN221:CQ221)</f>
        <v>0</v>
      </c>
      <c r="CN221" s="11">
        <v>0</v>
      </c>
      <c r="CO221" s="11">
        <v>0</v>
      </c>
      <c r="CP221" s="11"/>
      <c r="CQ221" s="11">
        <v>0</v>
      </c>
      <c r="CR221" s="11">
        <v>0</v>
      </c>
      <c r="CS221" s="11">
        <v>0</v>
      </c>
      <c r="CT221" s="11">
        <v>0</v>
      </c>
      <c r="CU221" s="11">
        <f t="shared" si="340"/>
        <v>4000</v>
      </c>
      <c r="CV221" s="11">
        <f t="shared" si="341"/>
        <v>4000</v>
      </c>
      <c r="CW221" s="11">
        <v>4000</v>
      </c>
      <c r="CX221" s="12">
        <v>0</v>
      </c>
    </row>
    <row r="222" spans="1:102" ht="31.5" x14ac:dyDescent="0.25">
      <c r="A222" s="18" t="s">
        <v>466</v>
      </c>
      <c r="B222" s="19" t="s">
        <v>1</v>
      </c>
      <c r="C222" s="19" t="s">
        <v>1</v>
      </c>
      <c r="D222" s="20" t="s">
        <v>467</v>
      </c>
      <c r="E222" s="21">
        <f>SUM(E223)</f>
        <v>3875517</v>
      </c>
      <c r="F222" s="22">
        <f t="shared" si="494"/>
        <v>0</v>
      </c>
      <c r="G222" s="22">
        <f t="shared" si="494"/>
        <v>0</v>
      </c>
      <c r="H222" s="22">
        <f t="shared" si="494"/>
        <v>0</v>
      </c>
      <c r="I222" s="22">
        <f t="shared" si="494"/>
        <v>0</v>
      </c>
      <c r="J222" s="22">
        <f t="shared" si="494"/>
        <v>0</v>
      </c>
      <c r="K222" s="22">
        <f t="shared" si="494"/>
        <v>0</v>
      </c>
      <c r="L222" s="22">
        <f t="shared" si="494"/>
        <v>0</v>
      </c>
      <c r="M222" s="22">
        <f t="shared" si="494"/>
        <v>0</v>
      </c>
      <c r="N222" s="22">
        <f t="shared" si="494"/>
        <v>0</v>
      </c>
      <c r="O222" s="22">
        <f t="shared" si="494"/>
        <v>0</v>
      </c>
      <c r="P222" s="22">
        <f t="shared" si="494"/>
        <v>0</v>
      </c>
      <c r="Q222" s="22">
        <f t="shared" si="494"/>
        <v>0</v>
      </c>
      <c r="R222" s="22">
        <f t="shared" si="494"/>
        <v>0</v>
      </c>
      <c r="S222" s="22">
        <f t="shared" si="494"/>
        <v>0</v>
      </c>
      <c r="T222" s="22">
        <f t="shared" si="494"/>
        <v>0</v>
      </c>
      <c r="U222" s="22">
        <f t="shared" si="494"/>
        <v>0</v>
      </c>
      <c r="V222" s="22">
        <f t="shared" si="494"/>
        <v>0</v>
      </c>
      <c r="W222" s="22">
        <f t="shared" si="494"/>
        <v>0</v>
      </c>
      <c r="X222" s="22">
        <f t="shared" si="494"/>
        <v>0</v>
      </c>
      <c r="Y222" s="22">
        <f t="shared" si="494"/>
        <v>0</v>
      </c>
      <c r="Z222" s="22">
        <f t="shared" si="494"/>
        <v>0</v>
      </c>
      <c r="AA222" s="22">
        <f t="shared" si="494"/>
        <v>0</v>
      </c>
      <c r="AB222" s="22">
        <f t="shared" si="494"/>
        <v>0</v>
      </c>
      <c r="AC222" s="22">
        <f t="shared" si="494"/>
        <v>0</v>
      </c>
      <c r="AD222" s="22">
        <f t="shared" si="494"/>
        <v>0</v>
      </c>
      <c r="AE222" s="22">
        <f t="shared" si="494"/>
        <v>0</v>
      </c>
      <c r="AF222" s="22">
        <f t="shared" si="494"/>
        <v>0</v>
      </c>
      <c r="AG222" s="22">
        <f t="shared" si="494"/>
        <v>0</v>
      </c>
      <c r="AH222" s="22">
        <f t="shared" si="494"/>
        <v>0</v>
      </c>
      <c r="AI222" s="22">
        <f t="shared" si="494"/>
        <v>0</v>
      </c>
      <c r="AJ222" s="22">
        <f t="shared" si="494"/>
        <v>0</v>
      </c>
      <c r="AK222" s="22">
        <f t="shared" si="494"/>
        <v>0</v>
      </c>
      <c r="AL222" s="22">
        <f t="shared" si="494"/>
        <v>0</v>
      </c>
      <c r="AM222" s="22">
        <f t="shared" si="494"/>
        <v>0</v>
      </c>
      <c r="AN222" s="22">
        <f t="shared" si="494"/>
        <v>0</v>
      </c>
      <c r="AO222" s="22">
        <f t="shared" si="494"/>
        <v>0</v>
      </c>
      <c r="AP222" s="22">
        <f t="shared" si="494"/>
        <v>0</v>
      </c>
      <c r="AQ222" s="22">
        <f t="shared" si="494"/>
        <v>0</v>
      </c>
      <c r="AR222" s="22">
        <f t="shared" si="495"/>
        <v>0</v>
      </c>
      <c r="AS222" s="22">
        <f t="shared" si="494"/>
        <v>0</v>
      </c>
      <c r="AT222" s="22">
        <f t="shared" si="494"/>
        <v>0</v>
      </c>
      <c r="AU222" s="22">
        <f t="shared" si="494"/>
        <v>0</v>
      </c>
      <c r="AV222" s="22"/>
      <c r="AW222" s="22"/>
      <c r="AX222" s="22">
        <f t="shared" si="494"/>
        <v>0</v>
      </c>
      <c r="AY222" s="22">
        <f t="shared" si="494"/>
        <v>0</v>
      </c>
      <c r="AZ222" s="22">
        <f t="shared" si="494"/>
        <v>0</v>
      </c>
      <c r="BA222" s="22">
        <f>SUM(BA223)</f>
        <v>0</v>
      </c>
      <c r="BB222" s="22">
        <f t="shared" si="494"/>
        <v>0</v>
      </c>
      <c r="BC222" s="22">
        <f t="shared" si="494"/>
        <v>0</v>
      </c>
      <c r="BD222" s="22">
        <f t="shared" si="494"/>
        <v>0</v>
      </c>
      <c r="BE222" s="22">
        <f t="shared" si="494"/>
        <v>0</v>
      </c>
      <c r="BF222" s="22">
        <f t="shared" si="494"/>
        <v>0</v>
      </c>
      <c r="BG222" s="22">
        <f t="shared" si="494"/>
        <v>0</v>
      </c>
      <c r="BH222" s="22">
        <f t="shared" si="494"/>
        <v>0</v>
      </c>
      <c r="BI222" s="22">
        <f t="shared" si="494"/>
        <v>0</v>
      </c>
      <c r="BJ222" s="22">
        <f t="shared" si="494"/>
        <v>0</v>
      </c>
      <c r="BK222" s="22">
        <f t="shared" si="494"/>
        <v>0</v>
      </c>
      <c r="BL222" s="22">
        <f t="shared" si="494"/>
        <v>0</v>
      </c>
      <c r="BM222" s="22">
        <f t="shared" si="494"/>
        <v>0</v>
      </c>
      <c r="BN222" s="22">
        <f t="shared" si="494"/>
        <v>0</v>
      </c>
      <c r="BO222" s="22">
        <f t="shared" si="494"/>
        <v>0</v>
      </c>
      <c r="BP222" s="22">
        <f t="shared" si="496"/>
        <v>0</v>
      </c>
      <c r="BQ222" s="22">
        <f t="shared" si="494"/>
        <v>0</v>
      </c>
      <c r="BR222" s="22">
        <f t="shared" si="494"/>
        <v>0</v>
      </c>
      <c r="BS222" s="22">
        <f t="shared" si="494"/>
        <v>0</v>
      </c>
      <c r="BT222" s="22">
        <f t="shared" si="494"/>
        <v>0</v>
      </c>
      <c r="BU222" s="22">
        <f t="shared" si="494"/>
        <v>0</v>
      </c>
      <c r="BV222" s="22">
        <f t="shared" si="494"/>
        <v>0</v>
      </c>
      <c r="BW222" s="22">
        <f t="shared" si="494"/>
        <v>0</v>
      </c>
      <c r="BX222" s="22">
        <f t="shared" si="497"/>
        <v>0</v>
      </c>
      <c r="BY222" s="22">
        <f t="shared" si="497"/>
        <v>0</v>
      </c>
      <c r="BZ222" s="22">
        <f t="shared" si="497"/>
        <v>0</v>
      </c>
      <c r="CA222" s="22">
        <f t="shared" si="497"/>
        <v>0</v>
      </c>
      <c r="CB222" s="22">
        <f t="shared" si="497"/>
        <v>0</v>
      </c>
      <c r="CC222" s="22">
        <f t="shared" si="497"/>
        <v>3875517</v>
      </c>
      <c r="CD222" s="22">
        <f t="shared" si="497"/>
        <v>0</v>
      </c>
      <c r="CE222" s="22">
        <f t="shared" si="497"/>
        <v>0</v>
      </c>
      <c r="CF222" s="22">
        <f t="shared" si="497"/>
        <v>0</v>
      </c>
      <c r="CG222" s="22">
        <f t="shared" si="497"/>
        <v>0</v>
      </c>
      <c r="CH222" s="22">
        <f t="shared" si="497"/>
        <v>0</v>
      </c>
      <c r="CI222" s="22">
        <f t="shared" si="497"/>
        <v>0</v>
      </c>
      <c r="CJ222" s="22">
        <f t="shared" si="497"/>
        <v>0</v>
      </c>
      <c r="CK222" s="22">
        <f t="shared" si="497"/>
        <v>0</v>
      </c>
      <c r="CL222" s="22">
        <f t="shared" si="497"/>
        <v>0</v>
      </c>
      <c r="CM222" s="22">
        <f t="shared" si="497"/>
        <v>0</v>
      </c>
      <c r="CN222" s="22">
        <f t="shared" si="497"/>
        <v>0</v>
      </c>
      <c r="CO222" s="22">
        <f t="shared" si="497"/>
        <v>0</v>
      </c>
      <c r="CP222" s="22"/>
      <c r="CQ222" s="22">
        <f t="shared" si="497"/>
        <v>0</v>
      </c>
      <c r="CR222" s="22">
        <f t="shared" si="497"/>
        <v>3875517</v>
      </c>
      <c r="CS222" s="22">
        <f t="shared" si="497"/>
        <v>3875517</v>
      </c>
      <c r="CT222" s="22">
        <f t="shared" si="497"/>
        <v>0</v>
      </c>
      <c r="CU222" s="22">
        <f t="shared" si="497"/>
        <v>0</v>
      </c>
      <c r="CV222" s="22">
        <f t="shared" si="497"/>
        <v>0</v>
      </c>
      <c r="CW222" s="22">
        <f t="shared" si="497"/>
        <v>0</v>
      </c>
      <c r="CX222" s="23">
        <f t="shared" si="497"/>
        <v>0</v>
      </c>
    </row>
    <row r="223" spans="1:102" ht="15.75" x14ac:dyDescent="0.25">
      <c r="A223" s="7"/>
      <c r="B223" s="8" t="s">
        <v>468</v>
      </c>
      <c r="C223" s="8" t="s">
        <v>1</v>
      </c>
      <c r="D223" s="9" t="s">
        <v>469</v>
      </c>
      <c r="E223" s="10">
        <f>SUM(E224)</f>
        <v>3875517</v>
      </c>
      <c r="F223" s="11">
        <f t="shared" si="494"/>
        <v>0</v>
      </c>
      <c r="G223" s="11">
        <f t="shared" si="494"/>
        <v>0</v>
      </c>
      <c r="H223" s="11">
        <f t="shared" si="494"/>
        <v>0</v>
      </c>
      <c r="I223" s="11">
        <f t="shared" si="494"/>
        <v>0</v>
      </c>
      <c r="J223" s="11">
        <f t="shared" si="494"/>
        <v>0</v>
      </c>
      <c r="K223" s="11">
        <f t="shared" si="494"/>
        <v>0</v>
      </c>
      <c r="L223" s="11">
        <f t="shared" si="494"/>
        <v>0</v>
      </c>
      <c r="M223" s="11">
        <f t="shared" si="494"/>
        <v>0</v>
      </c>
      <c r="N223" s="11">
        <f t="shared" si="494"/>
        <v>0</v>
      </c>
      <c r="O223" s="11">
        <f t="shared" si="494"/>
        <v>0</v>
      </c>
      <c r="P223" s="11">
        <f t="shared" si="494"/>
        <v>0</v>
      </c>
      <c r="Q223" s="11">
        <f t="shared" si="494"/>
        <v>0</v>
      </c>
      <c r="R223" s="11">
        <f t="shared" si="494"/>
        <v>0</v>
      </c>
      <c r="S223" s="11">
        <f t="shared" si="494"/>
        <v>0</v>
      </c>
      <c r="T223" s="11">
        <f t="shared" si="494"/>
        <v>0</v>
      </c>
      <c r="U223" s="11">
        <f t="shared" si="494"/>
        <v>0</v>
      </c>
      <c r="V223" s="11">
        <f t="shared" si="494"/>
        <v>0</v>
      </c>
      <c r="W223" s="11">
        <f t="shared" si="494"/>
        <v>0</v>
      </c>
      <c r="X223" s="11">
        <f t="shared" si="494"/>
        <v>0</v>
      </c>
      <c r="Y223" s="11">
        <f t="shared" si="494"/>
        <v>0</v>
      </c>
      <c r="Z223" s="11">
        <f t="shared" si="494"/>
        <v>0</v>
      </c>
      <c r="AA223" s="11">
        <f t="shared" si="494"/>
        <v>0</v>
      </c>
      <c r="AB223" s="11">
        <f t="shared" si="494"/>
        <v>0</v>
      </c>
      <c r="AC223" s="11">
        <f t="shared" si="494"/>
        <v>0</v>
      </c>
      <c r="AD223" s="11">
        <f t="shared" si="494"/>
        <v>0</v>
      </c>
      <c r="AE223" s="11">
        <f t="shared" si="494"/>
        <v>0</v>
      </c>
      <c r="AF223" s="11">
        <f t="shared" si="494"/>
        <v>0</v>
      </c>
      <c r="AG223" s="11">
        <f t="shared" si="494"/>
        <v>0</v>
      </c>
      <c r="AH223" s="11">
        <f t="shared" si="494"/>
        <v>0</v>
      </c>
      <c r="AI223" s="11">
        <f t="shared" si="494"/>
        <v>0</v>
      </c>
      <c r="AJ223" s="11">
        <f t="shared" si="494"/>
        <v>0</v>
      </c>
      <c r="AK223" s="11">
        <f t="shared" si="494"/>
        <v>0</v>
      </c>
      <c r="AL223" s="11">
        <f t="shared" si="494"/>
        <v>0</v>
      </c>
      <c r="AM223" s="11">
        <f t="shared" si="494"/>
        <v>0</v>
      </c>
      <c r="AN223" s="11">
        <f t="shared" si="494"/>
        <v>0</v>
      </c>
      <c r="AO223" s="11">
        <f t="shared" si="494"/>
        <v>0</v>
      </c>
      <c r="AP223" s="11">
        <f t="shared" si="494"/>
        <v>0</v>
      </c>
      <c r="AQ223" s="11">
        <f t="shared" si="494"/>
        <v>0</v>
      </c>
      <c r="AR223" s="11">
        <f t="shared" si="495"/>
        <v>0</v>
      </c>
      <c r="AS223" s="11">
        <f t="shared" si="494"/>
        <v>0</v>
      </c>
      <c r="AT223" s="11">
        <f t="shared" si="494"/>
        <v>0</v>
      </c>
      <c r="AU223" s="11">
        <f t="shared" si="494"/>
        <v>0</v>
      </c>
      <c r="AV223" s="11"/>
      <c r="AW223" s="11"/>
      <c r="AX223" s="11">
        <f t="shared" si="494"/>
        <v>0</v>
      </c>
      <c r="AY223" s="11">
        <f t="shared" si="494"/>
        <v>0</v>
      </c>
      <c r="AZ223" s="11">
        <f t="shared" si="494"/>
        <v>0</v>
      </c>
      <c r="BA223" s="11">
        <f>SUM(BA224)</f>
        <v>0</v>
      </c>
      <c r="BB223" s="11">
        <f t="shared" si="494"/>
        <v>0</v>
      </c>
      <c r="BC223" s="11">
        <f t="shared" si="494"/>
        <v>0</v>
      </c>
      <c r="BD223" s="11">
        <f t="shared" si="494"/>
        <v>0</v>
      </c>
      <c r="BE223" s="11">
        <f t="shared" si="494"/>
        <v>0</v>
      </c>
      <c r="BF223" s="11">
        <f t="shared" si="494"/>
        <v>0</v>
      </c>
      <c r="BG223" s="11">
        <f t="shared" si="494"/>
        <v>0</v>
      </c>
      <c r="BH223" s="11">
        <f t="shared" si="494"/>
        <v>0</v>
      </c>
      <c r="BI223" s="11">
        <f t="shared" si="494"/>
        <v>0</v>
      </c>
      <c r="BJ223" s="11">
        <f t="shared" si="494"/>
        <v>0</v>
      </c>
      <c r="BK223" s="11">
        <f t="shared" si="494"/>
        <v>0</v>
      </c>
      <c r="BL223" s="11">
        <f t="shared" si="494"/>
        <v>0</v>
      </c>
      <c r="BM223" s="11">
        <f t="shared" si="494"/>
        <v>0</v>
      </c>
      <c r="BN223" s="11">
        <f t="shared" si="494"/>
        <v>0</v>
      </c>
      <c r="BO223" s="11">
        <f t="shared" si="494"/>
        <v>0</v>
      </c>
      <c r="BP223" s="11">
        <f t="shared" si="496"/>
        <v>0</v>
      </c>
      <c r="BQ223" s="11">
        <f t="shared" si="494"/>
        <v>0</v>
      </c>
      <c r="BR223" s="11">
        <f t="shared" si="494"/>
        <v>0</v>
      </c>
      <c r="BS223" s="11">
        <f t="shared" ref="BS223:BV223" si="499">SUM(BS224)</f>
        <v>0</v>
      </c>
      <c r="BT223" s="11">
        <f t="shared" si="499"/>
        <v>0</v>
      </c>
      <c r="BU223" s="11">
        <f t="shared" si="499"/>
        <v>0</v>
      </c>
      <c r="BV223" s="11">
        <f t="shared" si="499"/>
        <v>0</v>
      </c>
      <c r="BW223" s="11">
        <f>SUM(BW224)</f>
        <v>0</v>
      </c>
      <c r="BX223" s="11">
        <f t="shared" si="497"/>
        <v>0</v>
      </c>
      <c r="BY223" s="11">
        <f t="shared" si="497"/>
        <v>0</v>
      </c>
      <c r="BZ223" s="11">
        <f t="shared" si="497"/>
        <v>0</v>
      </c>
      <c r="CA223" s="11">
        <f t="shared" si="497"/>
        <v>0</v>
      </c>
      <c r="CB223" s="11">
        <f t="shared" si="497"/>
        <v>0</v>
      </c>
      <c r="CC223" s="11">
        <f t="shared" si="497"/>
        <v>3875517</v>
      </c>
      <c r="CD223" s="11">
        <f t="shared" si="497"/>
        <v>0</v>
      </c>
      <c r="CE223" s="11">
        <f t="shared" si="497"/>
        <v>0</v>
      </c>
      <c r="CF223" s="11">
        <f t="shared" si="497"/>
        <v>0</v>
      </c>
      <c r="CG223" s="11">
        <f t="shared" si="497"/>
        <v>0</v>
      </c>
      <c r="CH223" s="11">
        <f t="shared" si="497"/>
        <v>0</v>
      </c>
      <c r="CI223" s="11">
        <f t="shared" si="497"/>
        <v>0</v>
      </c>
      <c r="CJ223" s="11">
        <f t="shared" si="497"/>
        <v>0</v>
      </c>
      <c r="CK223" s="11">
        <f t="shared" si="497"/>
        <v>0</v>
      </c>
      <c r="CL223" s="11">
        <f t="shared" si="497"/>
        <v>0</v>
      </c>
      <c r="CM223" s="11">
        <f t="shared" si="497"/>
        <v>0</v>
      </c>
      <c r="CN223" s="11">
        <f t="shared" si="497"/>
        <v>0</v>
      </c>
      <c r="CO223" s="11">
        <f t="shared" si="497"/>
        <v>0</v>
      </c>
      <c r="CP223" s="11"/>
      <c r="CQ223" s="11">
        <f t="shared" si="497"/>
        <v>0</v>
      </c>
      <c r="CR223" s="11">
        <f t="shared" si="497"/>
        <v>3875517</v>
      </c>
      <c r="CS223" s="11">
        <f t="shared" si="497"/>
        <v>3875517</v>
      </c>
      <c r="CT223" s="11">
        <f t="shared" si="497"/>
        <v>0</v>
      </c>
      <c r="CU223" s="11">
        <f t="shared" si="497"/>
        <v>0</v>
      </c>
      <c r="CV223" s="11">
        <f t="shared" si="497"/>
        <v>0</v>
      </c>
      <c r="CW223" s="11">
        <f t="shared" si="497"/>
        <v>0</v>
      </c>
      <c r="CX223" s="12">
        <f t="shared" si="497"/>
        <v>0</v>
      </c>
    </row>
    <row r="224" spans="1:102" ht="15.75" x14ac:dyDescent="0.25">
      <c r="A224" s="13" t="s">
        <v>1</v>
      </c>
      <c r="B224" s="14" t="s">
        <v>1</v>
      </c>
      <c r="C224" s="14" t="s">
        <v>107</v>
      </c>
      <c r="D224" s="15" t="s">
        <v>469</v>
      </c>
      <c r="E224" s="10">
        <f>SUM(F224+CC224+CU224)</f>
        <v>3875517</v>
      </c>
      <c r="F224" s="11">
        <f>SUM(G224+BC224)</f>
        <v>0</v>
      </c>
      <c r="G224" s="11">
        <f>SUM(H224+I224+J224+Q224+T224+U224+V224+AF224+AE224)</f>
        <v>0</v>
      </c>
      <c r="H224" s="11">
        <v>0</v>
      </c>
      <c r="I224" s="11">
        <v>0</v>
      </c>
      <c r="J224" s="11">
        <f>SUM(K224:P224)</f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f>SUM(R224:S224)</f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f t="shared" ref="V224" si="500">SUM(W224:AD224)</f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f>SUM(AG224:BB224)</f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11">
        <v>0</v>
      </c>
      <c r="AV224" s="11"/>
      <c r="AW224" s="11"/>
      <c r="AX224" s="11">
        <v>0</v>
      </c>
      <c r="AY224" s="11">
        <v>0</v>
      </c>
      <c r="AZ224" s="11">
        <v>0</v>
      </c>
      <c r="BA224" s="11">
        <v>0</v>
      </c>
      <c r="BB224" s="11"/>
      <c r="BC224" s="11">
        <f>SUM(BD224+BH224+BL224+BN224+BQ224)</f>
        <v>0</v>
      </c>
      <c r="BD224" s="11">
        <f>SUM(BE224:BG224)</f>
        <v>0</v>
      </c>
      <c r="BE224" s="11">
        <v>0</v>
      </c>
      <c r="BF224" s="11">
        <v>0</v>
      </c>
      <c r="BG224" s="11">
        <v>0</v>
      </c>
      <c r="BH224" s="11">
        <f>SUM(BJ224:BK224)</f>
        <v>0</v>
      </c>
      <c r="BI224" s="11">
        <v>0</v>
      </c>
      <c r="BJ224" s="11">
        <v>0</v>
      </c>
      <c r="BK224" s="11">
        <v>0</v>
      </c>
      <c r="BL224" s="11">
        <v>0</v>
      </c>
      <c r="BM224" s="11">
        <v>0</v>
      </c>
      <c r="BN224" s="11">
        <f>SUM(BO224)</f>
        <v>0</v>
      </c>
      <c r="BO224" s="11">
        <v>0</v>
      </c>
      <c r="BP224" s="11">
        <v>0</v>
      </c>
      <c r="BQ224" s="11">
        <f>SUM(BR224:CB224)</f>
        <v>0</v>
      </c>
      <c r="BR224" s="11">
        <v>0</v>
      </c>
      <c r="BS224" s="11">
        <v>0</v>
      </c>
      <c r="BT224" s="11">
        <v>0</v>
      </c>
      <c r="BU224" s="11">
        <v>0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0</v>
      </c>
      <c r="CB224" s="11">
        <v>0</v>
      </c>
      <c r="CC224" s="11">
        <f>SUM(CD224+CT224+CR224)</f>
        <v>3875517</v>
      </c>
      <c r="CD224" s="11">
        <f>SUM(CE224+CH224+CM224)</f>
        <v>0</v>
      </c>
      <c r="CE224" s="11">
        <f>SUM(CF224:CG224)</f>
        <v>0</v>
      </c>
      <c r="CF224" s="11">
        <v>0</v>
      </c>
      <c r="CG224" s="11">
        <v>0</v>
      </c>
      <c r="CH224" s="11">
        <f>SUM(CI224:CL224)</f>
        <v>0</v>
      </c>
      <c r="CI224" s="11">
        <v>0</v>
      </c>
      <c r="CJ224" s="11">
        <v>0</v>
      </c>
      <c r="CK224" s="11">
        <v>0</v>
      </c>
      <c r="CL224" s="11">
        <v>0</v>
      </c>
      <c r="CM224" s="11">
        <f>SUM(CN224:CQ224)</f>
        <v>0</v>
      </c>
      <c r="CN224" s="11">
        <v>0</v>
      </c>
      <c r="CO224" s="11">
        <v>0</v>
      </c>
      <c r="CP224" s="11"/>
      <c r="CQ224" s="11">
        <v>0</v>
      </c>
      <c r="CR224" s="11">
        <f>SUM(CS224)</f>
        <v>3875517</v>
      </c>
      <c r="CS224" s="11">
        <v>3875517</v>
      </c>
      <c r="CT224" s="11">
        <v>0</v>
      </c>
      <c r="CU224" s="11">
        <f>SUM(CV224)</f>
        <v>0</v>
      </c>
      <c r="CV224" s="11">
        <f>SUM(CW224:CX224)</f>
        <v>0</v>
      </c>
      <c r="CW224" s="11"/>
      <c r="CX224" s="12">
        <v>0</v>
      </c>
    </row>
    <row r="225" spans="1:102" ht="31.5" x14ac:dyDescent="0.25">
      <c r="A225" s="18" t="s">
        <v>352</v>
      </c>
      <c r="B225" s="19" t="s">
        <v>1</v>
      </c>
      <c r="C225" s="19" t="s">
        <v>1</v>
      </c>
      <c r="D225" s="20" t="s">
        <v>353</v>
      </c>
      <c r="E225" s="21">
        <f>SUM(E226)</f>
        <v>202984324</v>
      </c>
      <c r="F225" s="22">
        <f t="shared" ref="F225:BW225" si="501">SUM(F226)</f>
        <v>202984324</v>
      </c>
      <c r="G225" s="22">
        <f t="shared" si="501"/>
        <v>0</v>
      </c>
      <c r="H225" s="22">
        <f t="shared" si="501"/>
        <v>0</v>
      </c>
      <c r="I225" s="22">
        <f t="shared" si="501"/>
        <v>0</v>
      </c>
      <c r="J225" s="22">
        <f t="shared" si="501"/>
        <v>0</v>
      </c>
      <c r="K225" s="22">
        <f t="shared" si="501"/>
        <v>0</v>
      </c>
      <c r="L225" s="22">
        <f t="shared" si="501"/>
        <v>0</v>
      </c>
      <c r="M225" s="22">
        <f t="shared" si="501"/>
        <v>0</v>
      </c>
      <c r="N225" s="22">
        <f t="shared" si="501"/>
        <v>0</v>
      </c>
      <c r="O225" s="22">
        <f t="shared" si="501"/>
        <v>0</v>
      </c>
      <c r="P225" s="22">
        <f t="shared" si="501"/>
        <v>0</v>
      </c>
      <c r="Q225" s="22">
        <f t="shared" si="501"/>
        <v>0</v>
      </c>
      <c r="R225" s="22">
        <f t="shared" si="501"/>
        <v>0</v>
      </c>
      <c r="S225" s="22">
        <f t="shared" si="501"/>
        <v>0</v>
      </c>
      <c r="T225" s="22">
        <f t="shared" si="501"/>
        <v>0</v>
      </c>
      <c r="U225" s="22">
        <f t="shared" si="501"/>
        <v>0</v>
      </c>
      <c r="V225" s="22">
        <f t="shared" si="501"/>
        <v>0</v>
      </c>
      <c r="W225" s="22">
        <f t="shared" si="501"/>
        <v>0</v>
      </c>
      <c r="X225" s="22">
        <f t="shared" si="501"/>
        <v>0</v>
      </c>
      <c r="Y225" s="22">
        <f t="shared" si="501"/>
        <v>0</v>
      </c>
      <c r="Z225" s="22">
        <f t="shared" si="501"/>
        <v>0</v>
      </c>
      <c r="AA225" s="22">
        <f t="shared" si="501"/>
        <v>0</v>
      </c>
      <c r="AB225" s="22">
        <f t="shared" si="501"/>
        <v>0</v>
      </c>
      <c r="AC225" s="22">
        <f t="shared" si="501"/>
        <v>0</v>
      </c>
      <c r="AD225" s="22">
        <f t="shared" si="501"/>
        <v>0</v>
      </c>
      <c r="AE225" s="22">
        <f t="shared" si="501"/>
        <v>0</v>
      </c>
      <c r="AF225" s="22">
        <f t="shared" si="501"/>
        <v>0</v>
      </c>
      <c r="AG225" s="22">
        <f t="shared" si="501"/>
        <v>0</v>
      </c>
      <c r="AH225" s="22">
        <f t="shared" si="501"/>
        <v>0</v>
      </c>
      <c r="AI225" s="22">
        <f t="shared" si="501"/>
        <v>0</v>
      </c>
      <c r="AJ225" s="22">
        <f t="shared" si="501"/>
        <v>0</v>
      </c>
      <c r="AK225" s="22">
        <f t="shared" si="501"/>
        <v>0</v>
      </c>
      <c r="AL225" s="22">
        <f t="shared" si="501"/>
        <v>0</v>
      </c>
      <c r="AM225" s="22">
        <f t="shared" si="501"/>
        <v>0</v>
      </c>
      <c r="AN225" s="22">
        <f t="shared" si="501"/>
        <v>0</v>
      </c>
      <c r="AO225" s="22">
        <f t="shared" si="501"/>
        <v>0</v>
      </c>
      <c r="AP225" s="22">
        <f t="shared" si="501"/>
        <v>0</v>
      </c>
      <c r="AQ225" s="22">
        <f t="shared" si="501"/>
        <v>0</v>
      </c>
      <c r="AR225" s="22">
        <f t="shared" si="501"/>
        <v>0</v>
      </c>
      <c r="AS225" s="22">
        <f t="shared" si="501"/>
        <v>0</v>
      </c>
      <c r="AT225" s="22">
        <f t="shared" si="501"/>
        <v>0</v>
      </c>
      <c r="AU225" s="22">
        <f t="shared" si="501"/>
        <v>0</v>
      </c>
      <c r="AV225" s="22"/>
      <c r="AW225" s="22"/>
      <c r="AX225" s="22">
        <f t="shared" si="501"/>
        <v>0</v>
      </c>
      <c r="AY225" s="22">
        <f t="shared" si="501"/>
        <v>0</v>
      </c>
      <c r="AZ225" s="22">
        <f t="shared" si="501"/>
        <v>0</v>
      </c>
      <c r="BA225" s="22">
        <f t="shared" si="501"/>
        <v>0</v>
      </c>
      <c r="BB225" s="22">
        <f t="shared" si="501"/>
        <v>0</v>
      </c>
      <c r="BC225" s="22">
        <f t="shared" si="501"/>
        <v>202984324</v>
      </c>
      <c r="BD225" s="22">
        <f t="shared" si="501"/>
        <v>1784105</v>
      </c>
      <c r="BE225" s="22">
        <f t="shared" si="501"/>
        <v>1784105</v>
      </c>
      <c r="BF225" s="22">
        <f t="shared" si="501"/>
        <v>0</v>
      </c>
      <c r="BG225" s="22">
        <f t="shared" si="501"/>
        <v>0</v>
      </c>
      <c r="BH225" s="22">
        <f t="shared" si="501"/>
        <v>0</v>
      </c>
      <c r="BI225" s="22">
        <f t="shared" si="501"/>
        <v>0</v>
      </c>
      <c r="BJ225" s="22">
        <f t="shared" si="501"/>
        <v>0</v>
      </c>
      <c r="BK225" s="22">
        <f t="shared" si="501"/>
        <v>0</v>
      </c>
      <c r="BL225" s="22">
        <f t="shared" si="501"/>
        <v>201200219</v>
      </c>
      <c r="BM225" s="22">
        <f t="shared" si="501"/>
        <v>0</v>
      </c>
      <c r="BN225" s="22">
        <f t="shared" si="501"/>
        <v>0</v>
      </c>
      <c r="BO225" s="22">
        <f t="shared" si="501"/>
        <v>0</v>
      </c>
      <c r="BP225" s="22">
        <f t="shared" si="501"/>
        <v>0</v>
      </c>
      <c r="BQ225" s="22">
        <f t="shared" si="501"/>
        <v>0</v>
      </c>
      <c r="BR225" s="22">
        <f t="shared" si="501"/>
        <v>0</v>
      </c>
      <c r="BS225" s="22">
        <f t="shared" si="501"/>
        <v>0</v>
      </c>
      <c r="BT225" s="22">
        <f t="shared" si="501"/>
        <v>0</v>
      </c>
      <c r="BU225" s="22">
        <f t="shared" si="501"/>
        <v>0</v>
      </c>
      <c r="BV225" s="22">
        <f t="shared" si="501"/>
        <v>0</v>
      </c>
      <c r="BW225" s="22">
        <f t="shared" si="501"/>
        <v>0</v>
      </c>
      <c r="BX225" s="22">
        <f t="shared" ref="BX225:CX225" si="502">SUM(BX226)</f>
        <v>0</v>
      </c>
      <c r="BY225" s="22">
        <f t="shared" si="502"/>
        <v>0</v>
      </c>
      <c r="BZ225" s="22">
        <f t="shared" si="502"/>
        <v>0</v>
      </c>
      <c r="CA225" s="22">
        <f t="shared" si="502"/>
        <v>0</v>
      </c>
      <c r="CB225" s="22">
        <f t="shared" si="502"/>
        <v>0</v>
      </c>
      <c r="CC225" s="22">
        <f t="shared" si="502"/>
        <v>0</v>
      </c>
      <c r="CD225" s="22">
        <f t="shared" si="502"/>
        <v>0</v>
      </c>
      <c r="CE225" s="22">
        <f t="shared" si="502"/>
        <v>0</v>
      </c>
      <c r="CF225" s="22">
        <f t="shared" si="502"/>
        <v>0</v>
      </c>
      <c r="CG225" s="22">
        <f t="shared" si="502"/>
        <v>0</v>
      </c>
      <c r="CH225" s="22">
        <f t="shared" si="502"/>
        <v>0</v>
      </c>
      <c r="CI225" s="22">
        <f t="shared" si="502"/>
        <v>0</v>
      </c>
      <c r="CJ225" s="22">
        <f t="shared" si="502"/>
        <v>0</v>
      </c>
      <c r="CK225" s="22">
        <f t="shared" si="502"/>
        <v>0</v>
      </c>
      <c r="CL225" s="22">
        <f t="shared" si="502"/>
        <v>0</v>
      </c>
      <c r="CM225" s="22">
        <f t="shared" si="502"/>
        <v>0</v>
      </c>
      <c r="CN225" s="22">
        <f t="shared" si="502"/>
        <v>0</v>
      </c>
      <c r="CO225" s="22">
        <f t="shared" si="502"/>
        <v>0</v>
      </c>
      <c r="CP225" s="22"/>
      <c r="CQ225" s="22">
        <f t="shared" si="502"/>
        <v>0</v>
      </c>
      <c r="CR225" s="22">
        <f t="shared" si="502"/>
        <v>0</v>
      </c>
      <c r="CS225" s="22">
        <f t="shared" si="502"/>
        <v>0</v>
      </c>
      <c r="CT225" s="22">
        <f t="shared" si="502"/>
        <v>0</v>
      </c>
      <c r="CU225" s="22">
        <f t="shared" si="502"/>
        <v>0</v>
      </c>
      <c r="CV225" s="22">
        <f t="shared" si="502"/>
        <v>0</v>
      </c>
      <c r="CW225" s="22">
        <f t="shared" si="502"/>
        <v>0</v>
      </c>
      <c r="CX225" s="23">
        <f t="shared" si="502"/>
        <v>0</v>
      </c>
    </row>
    <row r="226" spans="1:102" ht="31.5" x14ac:dyDescent="0.25">
      <c r="A226" s="7"/>
      <c r="B226" s="8" t="s">
        <v>354</v>
      </c>
      <c r="C226" s="8" t="s">
        <v>1</v>
      </c>
      <c r="D226" s="9" t="s">
        <v>470</v>
      </c>
      <c r="E226" s="10">
        <f>SUM(E227:E228)</f>
        <v>202984324</v>
      </c>
      <c r="F226" s="11">
        <f t="shared" ref="F226:BW226" si="503">SUM(F227:F228)</f>
        <v>202984324</v>
      </c>
      <c r="G226" s="11">
        <f t="shared" si="503"/>
        <v>0</v>
      </c>
      <c r="H226" s="11">
        <f t="shared" si="503"/>
        <v>0</v>
      </c>
      <c r="I226" s="11">
        <f t="shared" si="503"/>
        <v>0</v>
      </c>
      <c r="J226" s="11">
        <f t="shared" si="503"/>
        <v>0</v>
      </c>
      <c r="K226" s="11">
        <f t="shared" si="503"/>
        <v>0</v>
      </c>
      <c r="L226" s="11">
        <f t="shared" si="503"/>
        <v>0</v>
      </c>
      <c r="M226" s="11">
        <f t="shared" si="503"/>
        <v>0</v>
      </c>
      <c r="N226" s="11">
        <f t="shared" si="503"/>
        <v>0</v>
      </c>
      <c r="O226" s="11">
        <f t="shared" si="503"/>
        <v>0</v>
      </c>
      <c r="P226" s="11">
        <f t="shared" si="503"/>
        <v>0</v>
      </c>
      <c r="Q226" s="11">
        <f t="shared" si="503"/>
        <v>0</v>
      </c>
      <c r="R226" s="11">
        <f t="shared" si="503"/>
        <v>0</v>
      </c>
      <c r="S226" s="11">
        <f t="shared" si="503"/>
        <v>0</v>
      </c>
      <c r="T226" s="11">
        <f t="shared" si="503"/>
        <v>0</v>
      </c>
      <c r="U226" s="11">
        <f t="shared" si="503"/>
        <v>0</v>
      </c>
      <c r="V226" s="11">
        <f t="shared" si="503"/>
        <v>0</v>
      </c>
      <c r="W226" s="11">
        <f t="shared" si="503"/>
        <v>0</v>
      </c>
      <c r="X226" s="11">
        <f t="shared" si="503"/>
        <v>0</v>
      </c>
      <c r="Y226" s="11">
        <f t="shared" si="503"/>
        <v>0</v>
      </c>
      <c r="Z226" s="11">
        <f t="shared" si="503"/>
        <v>0</v>
      </c>
      <c r="AA226" s="11">
        <f t="shared" si="503"/>
        <v>0</v>
      </c>
      <c r="AB226" s="11">
        <f t="shared" si="503"/>
        <v>0</v>
      </c>
      <c r="AC226" s="11">
        <f t="shared" si="503"/>
        <v>0</v>
      </c>
      <c r="AD226" s="11">
        <f t="shared" si="503"/>
        <v>0</v>
      </c>
      <c r="AE226" s="11">
        <f t="shared" si="503"/>
        <v>0</v>
      </c>
      <c r="AF226" s="11">
        <f t="shared" si="503"/>
        <v>0</v>
      </c>
      <c r="AG226" s="11">
        <f t="shared" si="503"/>
        <v>0</v>
      </c>
      <c r="AH226" s="11">
        <f t="shared" si="503"/>
        <v>0</v>
      </c>
      <c r="AI226" s="11">
        <f t="shared" si="503"/>
        <v>0</v>
      </c>
      <c r="AJ226" s="11">
        <f t="shared" si="503"/>
        <v>0</v>
      </c>
      <c r="AK226" s="11">
        <f t="shared" si="503"/>
        <v>0</v>
      </c>
      <c r="AL226" s="11">
        <f t="shared" si="503"/>
        <v>0</v>
      </c>
      <c r="AM226" s="11">
        <f t="shared" si="503"/>
        <v>0</v>
      </c>
      <c r="AN226" s="11">
        <f t="shared" si="503"/>
        <v>0</v>
      </c>
      <c r="AO226" s="11">
        <f t="shared" si="503"/>
        <v>0</v>
      </c>
      <c r="AP226" s="11">
        <f t="shared" si="503"/>
        <v>0</v>
      </c>
      <c r="AQ226" s="11">
        <f t="shared" si="503"/>
        <v>0</v>
      </c>
      <c r="AR226" s="11">
        <f t="shared" ref="AR226" si="504">SUM(AR227:AR228)</f>
        <v>0</v>
      </c>
      <c r="AS226" s="11">
        <f t="shared" si="503"/>
        <v>0</v>
      </c>
      <c r="AT226" s="11">
        <f t="shared" si="503"/>
        <v>0</v>
      </c>
      <c r="AU226" s="11">
        <f t="shared" si="503"/>
        <v>0</v>
      </c>
      <c r="AV226" s="11"/>
      <c r="AW226" s="11"/>
      <c r="AX226" s="11">
        <f t="shared" si="503"/>
        <v>0</v>
      </c>
      <c r="AY226" s="11">
        <f t="shared" si="503"/>
        <v>0</v>
      </c>
      <c r="AZ226" s="11">
        <f t="shared" si="503"/>
        <v>0</v>
      </c>
      <c r="BA226" s="11">
        <f t="shared" si="503"/>
        <v>0</v>
      </c>
      <c r="BB226" s="11">
        <f t="shared" si="503"/>
        <v>0</v>
      </c>
      <c r="BC226" s="11">
        <f t="shared" si="503"/>
        <v>202984324</v>
      </c>
      <c r="BD226" s="11">
        <f t="shared" si="503"/>
        <v>1784105</v>
      </c>
      <c r="BE226" s="11">
        <f t="shared" si="503"/>
        <v>1784105</v>
      </c>
      <c r="BF226" s="11">
        <f t="shared" si="503"/>
        <v>0</v>
      </c>
      <c r="BG226" s="11">
        <f t="shared" si="503"/>
        <v>0</v>
      </c>
      <c r="BH226" s="11">
        <f t="shared" si="503"/>
        <v>0</v>
      </c>
      <c r="BI226" s="11">
        <f t="shared" si="503"/>
        <v>0</v>
      </c>
      <c r="BJ226" s="11">
        <f t="shared" si="503"/>
        <v>0</v>
      </c>
      <c r="BK226" s="11">
        <f t="shared" si="503"/>
        <v>0</v>
      </c>
      <c r="BL226" s="11">
        <f t="shared" si="503"/>
        <v>201200219</v>
      </c>
      <c r="BM226" s="11">
        <f t="shared" si="503"/>
        <v>0</v>
      </c>
      <c r="BN226" s="11">
        <f t="shared" si="503"/>
        <v>0</v>
      </c>
      <c r="BO226" s="11">
        <f t="shared" si="503"/>
        <v>0</v>
      </c>
      <c r="BP226" s="11">
        <f t="shared" ref="BP226" si="505">SUM(BP227:BP228)</f>
        <v>0</v>
      </c>
      <c r="BQ226" s="11">
        <f t="shared" si="503"/>
        <v>0</v>
      </c>
      <c r="BR226" s="11">
        <f t="shared" si="503"/>
        <v>0</v>
      </c>
      <c r="BS226" s="11">
        <f t="shared" si="503"/>
        <v>0</v>
      </c>
      <c r="BT226" s="11">
        <f t="shared" si="503"/>
        <v>0</v>
      </c>
      <c r="BU226" s="11">
        <f t="shared" si="503"/>
        <v>0</v>
      </c>
      <c r="BV226" s="11">
        <f t="shared" si="503"/>
        <v>0</v>
      </c>
      <c r="BW226" s="11">
        <f t="shared" si="503"/>
        <v>0</v>
      </c>
      <c r="BX226" s="11">
        <f t="shared" ref="BX226:CX226" si="506">SUM(BX227:BX228)</f>
        <v>0</v>
      </c>
      <c r="BY226" s="11">
        <f t="shared" si="506"/>
        <v>0</v>
      </c>
      <c r="BZ226" s="11">
        <f t="shared" si="506"/>
        <v>0</v>
      </c>
      <c r="CA226" s="11">
        <f t="shared" si="506"/>
        <v>0</v>
      </c>
      <c r="CB226" s="11">
        <f t="shared" si="506"/>
        <v>0</v>
      </c>
      <c r="CC226" s="11">
        <f t="shared" si="506"/>
        <v>0</v>
      </c>
      <c r="CD226" s="11">
        <f t="shared" si="506"/>
        <v>0</v>
      </c>
      <c r="CE226" s="11">
        <f t="shared" si="506"/>
        <v>0</v>
      </c>
      <c r="CF226" s="11">
        <f t="shared" si="506"/>
        <v>0</v>
      </c>
      <c r="CG226" s="11">
        <f t="shared" si="506"/>
        <v>0</v>
      </c>
      <c r="CH226" s="11">
        <f t="shared" si="506"/>
        <v>0</v>
      </c>
      <c r="CI226" s="11">
        <f t="shared" si="506"/>
        <v>0</v>
      </c>
      <c r="CJ226" s="11">
        <f t="shared" si="506"/>
        <v>0</v>
      </c>
      <c r="CK226" s="11">
        <f t="shared" si="506"/>
        <v>0</v>
      </c>
      <c r="CL226" s="11">
        <f t="shared" si="506"/>
        <v>0</v>
      </c>
      <c r="CM226" s="11">
        <f t="shared" si="506"/>
        <v>0</v>
      </c>
      <c r="CN226" s="11">
        <f t="shared" si="506"/>
        <v>0</v>
      </c>
      <c r="CO226" s="11">
        <f t="shared" si="506"/>
        <v>0</v>
      </c>
      <c r="CP226" s="11"/>
      <c r="CQ226" s="11">
        <f t="shared" si="506"/>
        <v>0</v>
      </c>
      <c r="CR226" s="11">
        <f t="shared" si="506"/>
        <v>0</v>
      </c>
      <c r="CS226" s="11">
        <f t="shared" si="506"/>
        <v>0</v>
      </c>
      <c r="CT226" s="11">
        <f t="shared" si="506"/>
        <v>0</v>
      </c>
      <c r="CU226" s="11">
        <f t="shared" si="506"/>
        <v>0</v>
      </c>
      <c r="CV226" s="11">
        <f t="shared" si="506"/>
        <v>0</v>
      </c>
      <c r="CW226" s="11">
        <f t="shared" si="506"/>
        <v>0</v>
      </c>
      <c r="CX226" s="12">
        <f t="shared" si="506"/>
        <v>0</v>
      </c>
    </row>
    <row r="227" spans="1:102" ht="31.5" x14ac:dyDescent="0.25">
      <c r="A227" s="13" t="s">
        <v>1</v>
      </c>
      <c r="B227" s="14" t="s">
        <v>1</v>
      </c>
      <c r="C227" s="26" t="s">
        <v>82</v>
      </c>
      <c r="D227" s="25" t="s">
        <v>355</v>
      </c>
      <c r="E227" s="10">
        <f>SUM(F227+CC227+CU227)</f>
        <v>1784105</v>
      </c>
      <c r="F227" s="11">
        <f>SUM(G227+BC227)</f>
        <v>1784105</v>
      </c>
      <c r="G227" s="11">
        <f>SUM(H227+I227+J227+Q227+T227+U227+V227+AF227+AE227)</f>
        <v>0</v>
      </c>
      <c r="H227" s="11">
        <v>0</v>
      </c>
      <c r="I227" s="11">
        <v>0</v>
      </c>
      <c r="J227" s="11">
        <f>SUM(K227:P227)</f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f t="shared" si="334"/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f t="shared" ref="V227:V228" si="507">SUM(W227:AD227)</f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f>SUM(AG227:BB227)</f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  <c r="AU227" s="11">
        <v>0</v>
      </c>
      <c r="AV227" s="11"/>
      <c r="AW227" s="11"/>
      <c r="AX227" s="11">
        <v>0</v>
      </c>
      <c r="AY227" s="11">
        <v>0</v>
      </c>
      <c r="AZ227" s="11">
        <v>0</v>
      </c>
      <c r="BA227" s="11">
        <v>0</v>
      </c>
      <c r="BB227" s="11">
        <v>0</v>
      </c>
      <c r="BC227" s="11">
        <f>SUM(BD227+BH227+BL227+BN227+BQ227)</f>
        <v>1784105</v>
      </c>
      <c r="BD227" s="11">
        <f>SUM(BE227:BG227)</f>
        <v>1784105</v>
      </c>
      <c r="BE227" s="16">
        <v>1784105</v>
      </c>
      <c r="BF227" s="11">
        <v>0</v>
      </c>
      <c r="BG227" s="11">
        <v>0</v>
      </c>
      <c r="BH227" s="11">
        <f t="shared" si="336"/>
        <v>0</v>
      </c>
      <c r="BI227" s="11">
        <v>0</v>
      </c>
      <c r="BJ227" s="11">
        <v>0</v>
      </c>
      <c r="BK227" s="11">
        <v>0</v>
      </c>
      <c r="BL227" s="11"/>
      <c r="BM227" s="11">
        <v>0</v>
      </c>
      <c r="BN227" s="11">
        <f t="shared" si="337"/>
        <v>0</v>
      </c>
      <c r="BO227" s="11">
        <v>0</v>
      </c>
      <c r="BP227" s="11">
        <v>0</v>
      </c>
      <c r="BQ227" s="11">
        <f t="shared" si="338"/>
        <v>0</v>
      </c>
      <c r="BR227" s="11">
        <v>0</v>
      </c>
      <c r="BS227" s="11">
        <v>0</v>
      </c>
      <c r="BT227" s="11">
        <v>0</v>
      </c>
      <c r="BU227" s="11">
        <v>0</v>
      </c>
      <c r="BV227" s="11">
        <v>0</v>
      </c>
      <c r="BW227" s="11">
        <v>0</v>
      </c>
      <c r="BX227" s="11">
        <v>0</v>
      </c>
      <c r="BY227" s="11">
        <v>0</v>
      </c>
      <c r="BZ227" s="11">
        <v>0</v>
      </c>
      <c r="CA227" s="11">
        <v>0</v>
      </c>
      <c r="CB227" s="11">
        <v>0</v>
      </c>
      <c r="CC227" s="11">
        <f>SUM(CD227+CT227)</f>
        <v>0</v>
      </c>
      <c r="CD227" s="11">
        <f>SUM(CE227+CH227+CM227)</f>
        <v>0</v>
      </c>
      <c r="CE227" s="11">
        <f t="shared" si="339"/>
        <v>0</v>
      </c>
      <c r="CF227" s="11">
        <v>0</v>
      </c>
      <c r="CG227" s="11">
        <v>0</v>
      </c>
      <c r="CH227" s="11">
        <f>SUM(CI227:CL227)</f>
        <v>0</v>
      </c>
      <c r="CI227" s="11">
        <v>0</v>
      </c>
      <c r="CJ227" s="11">
        <v>0</v>
      </c>
      <c r="CK227" s="11">
        <v>0</v>
      </c>
      <c r="CL227" s="11">
        <v>0</v>
      </c>
      <c r="CM227" s="11">
        <f>SUM(CN227:CQ227)</f>
        <v>0</v>
      </c>
      <c r="CN227" s="11">
        <v>0</v>
      </c>
      <c r="CO227" s="11">
        <v>0</v>
      </c>
      <c r="CP227" s="11"/>
      <c r="CQ227" s="11">
        <v>0</v>
      </c>
      <c r="CR227" s="11">
        <v>0</v>
      </c>
      <c r="CS227" s="11">
        <v>0</v>
      </c>
      <c r="CT227" s="11">
        <v>0</v>
      </c>
      <c r="CU227" s="11">
        <f t="shared" si="340"/>
        <v>0</v>
      </c>
      <c r="CV227" s="11">
        <f t="shared" si="341"/>
        <v>0</v>
      </c>
      <c r="CW227" s="11">
        <v>0</v>
      </c>
      <c r="CX227" s="12">
        <v>0</v>
      </c>
    </row>
    <row r="228" spans="1:102" ht="31.5" x14ac:dyDescent="0.25">
      <c r="A228" s="13" t="s">
        <v>1</v>
      </c>
      <c r="B228" s="14" t="s">
        <v>1</v>
      </c>
      <c r="C228" s="26" t="s">
        <v>109</v>
      </c>
      <c r="D228" s="25" t="s">
        <v>356</v>
      </c>
      <c r="E228" s="10">
        <f>SUM(F228+CC228+CU228)</f>
        <v>201200219</v>
      </c>
      <c r="F228" s="11">
        <f>SUM(G228+BC228)</f>
        <v>201200219</v>
      </c>
      <c r="G228" s="11">
        <f>SUM(H228+I228+J228+Q228+T228+U228+V228+AF228+AE228)</f>
        <v>0</v>
      </c>
      <c r="H228" s="11">
        <v>0</v>
      </c>
      <c r="I228" s="11">
        <v>0</v>
      </c>
      <c r="J228" s="11">
        <f>SUM(K228:P228)</f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f t="shared" si="334"/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f t="shared" si="507"/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f>SUM(AG228:BB228)</f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0</v>
      </c>
      <c r="AU228" s="11">
        <v>0</v>
      </c>
      <c r="AV228" s="11"/>
      <c r="AW228" s="11"/>
      <c r="AX228" s="11">
        <v>0</v>
      </c>
      <c r="AY228" s="11">
        <v>0</v>
      </c>
      <c r="AZ228" s="11">
        <v>0</v>
      </c>
      <c r="BA228" s="11">
        <v>0</v>
      </c>
      <c r="BB228" s="11">
        <v>0</v>
      </c>
      <c r="BC228" s="11">
        <f>SUM(BD228+BH228+BL228+BN228+BQ228)</f>
        <v>201200219</v>
      </c>
      <c r="BD228" s="11">
        <f>SUM(BE228:BG228)</f>
        <v>0</v>
      </c>
      <c r="BE228" s="11"/>
      <c r="BF228" s="11">
        <v>0</v>
      </c>
      <c r="BG228" s="11">
        <v>0</v>
      </c>
      <c r="BH228" s="11">
        <f t="shared" si="336"/>
        <v>0</v>
      </c>
      <c r="BI228" s="11">
        <v>0</v>
      </c>
      <c r="BJ228" s="11">
        <v>0</v>
      </c>
      <c r="BK228" s="11">
        <v>0</v>
      </c>
      <c r="BL228" s="16">
        <f>163197921+14952270-300000-10372055-109702+2398718-2014546+33447613</f>
        <v>201200219</v>
      </c>
      <c r="BM228" s="11">
        <v>0</v>
      </c>
      <c r="BN228" s="11">
        <f t="shared" si="337"/>
        <v>0</v>
      </c>
      <c r="BO228" s="11">
        <v>0</v>
      </c>
      <c r="BP228" s="11">
        <v>0</v>
      </c>
      <c r="BQ228" s="11">
        <f t="shared" si="338"/>
        <v>0</v>
      </c>
      <c r="BR228" s="11">
        <v>0</v>
      </c>
      <c r="BS228" s="11">
        <v>0</v>
      </c>
      <c r="BT228" s="11">
        <v>0</v>
      </c>
      <c r="BU228" s="11">
        <v>0</v>
      </c>
      <c r="BV228" s="11">
        <v>0</v>
      </c>
      <c r="BW228" s="11">
        <v>0</v>
      </c>
      <c r="BX228" s="11">
        <v>0</v>
      </c>
      <c r="BY228" s="11">
        <v>0</v>
      </c>
      <c r="BZ228" s="11">
        <v>0</v>
      </c>
      <c r="CA228" s="11">
        <v>0</v>
      </c>
      <c r="CB228" s="11">
        <v>0</v>
      </c>
      <c r="CC228" s="11">
        <f>SUM(CD228+CT228)</f>
        <v>0</v>
      </c>
      <c r="CD228" s="11">
        <f>SUM(CE228+CH228+CM228)</f>
        <v>0</v>
      </c>
      <c r="CE228" s="11">
        <f t="shared" si="339"/>
        <v>0</v>
      </c>
      <c r="CF228" s="11">
        <v>0</v>
      </c>
      <c r="CG228" s="11">
        <v>0</v>
      </c>
      <c r="CH228" s="11">
        <f>SUM(CI228:CL228)</f>
        <v>0</v>
      </c>
      <c r="CI228" s="11">
        <v>0</v>
      </c>
      <c r="CJ228" s="11">
        <v>0</v>
      </c>
      <c r="CK228" s="11">
        <v>0</v>
      </c>
      <c r="CL228" s="11">
        <v>0</v>
      </c>
      <c r="CM228" s="11">
        <f>SUM(CN228:CQ228)</f>
        <v>0</v>
      </c>
      <c r="CN228" s="11">
        <v>0</v>
      </c>
      <c r="CO228" s="11">
        <v>0</v>
      </c>
      <c r="CP228" s="11"/>
      <c r="CQ228" s="11">
        <v>0</v>
      </c>
      <c r="CR228" s="11">
        <v>0</v>
      </c>
      <c r="CS228" s="11">
        <v>0</v>
      </c>
      <c r="CT228" s="11">
        <v>0</v>
      </c>
      <c r="CU228" s="11">
        <f t="shared" si="340"/>
        <v>0</v>
      </c>
      <c r="CV228" s="11">
        <f t="shared" si="341"/>
        <v>0</v>
      </c>
      <c r="CW228" s="11">
        <v>0</v>
      </c>
      <c r="CX228" s="12">
        <v>0</v>
      </c>
    </row>
    <row r="229" spans="1:102" ht="15.75" x14ac:dyDescent="0.25">
      <c r="A229" s="18" t="s">
        <v>357</v>
      </c>
      <c r="B229" s="19" t="s">
        <v>1</v>
      </c>
      <c r="C229" s="19" t="s">
        <v>1</v>
      </c>
      <c r="D229" s="20" t="s">
        <v>358</v>
      </c>
      <c r="E229" s="21">
        <f t="shared" ref="E229:AJ229" si="508">SUM(E230+E232+E235+E276+E289+E291)</f>
        <v>389746401</v>
      </c>
      <c r="F229" s="22">
        <f t="shared" si="508"/>
        <v>304151874</v>
      </c>
      <c r="G229" s="22">
        <f t="shared" si="508"/>
        <v>295021708</v>
      </c>
      <c r="H229" s="22">
        <f t="shared" si="508"/>
        <v>98864089</v>
      </c>
      <c r="I229" s="22">
        <f t="shared" si="508"/>
        <v>19788593</v>
      </c>
      <c r="J229" s="22">
        <f t="shared" si="508"/>
        <v>56890418</v>
      </c>
      <c r="K229" s="22">
        <f t="shared" si="508"/>
        <v>22561905</v>
      </c>
      <c r="L229" s="22">
        <f t="shared" si="508"/>
        <v>2482200</v>
      </c>
      <c r="M229" s="22">
        <f t="shared" si="508"/>
        <v>2651854</v>
      </c>
      <c r="N229" s="22">
        <f t="shared" si="508"/>
        <v>3000</v>
      </c>
      <c r="O229" s="22">
        <f t="shared" si="508"/>
        <v>9255864</v>
      </c>
      <c r="P229" s="22">
        <f t="shared" si="508"/>
        <v>19935595</v>
      </c>
      <c r="Q229" s="22">
        <f t="shared" si="508"/>
        <v>900886</v>
      </c>
      <c r="R229" s="22">
        <f t="shared" si="508"/>
        <v>187015</v>
      </c>
      <c r="S229" s="22">
        <f t="shared" si="508"/>
        <v>713871</v>
      </c>
      <c r="T229" s="22">
        <f t="shared" si="508"/>
        <v>97055</v>
      </c>
      <c r="U229" s="22">
        <f t="shared" si="508"/>
        <v>2020423</v>
      </c>
      <c r="V229" s="22">
        <f t="shared" si="508"/>
        <v>12164189</v>
      </c>
      <c r="W229" s="22">
        <f t="shared" si="508"/>
        <v>2894271</v>
      </c>
      <c r="X229" s="22">
        <f t="shared" si="508"/>
        <v>4458630</v>
      </c>
      <c r="Y229" s="22">
        <f t="shared" si="508"/>
        <v>2305842</v>
      </c>
      <c r="Z229" s="22">
        <f t="shared" si="508"/>
        <v>1144735</v>
      </c>
      <c r="AA229" s="22">
        <f t="shared" si="508"/>
        <v>795640</v>
      </c>
      <c r="AB229" s="22">
        <f t="shared" si="508"/>
        <v>358164</v>
      </c>
      <c r="AC229" s="22">
        <f t="shared" si="508"/>
        <v>0</v>
      </c>
      <c r="AD229" s="22">
        <f t="shared" si="508"/>
        <v>206907</v>
      </c>
      <c r="AE229" s="22">
        <f t="shared" si="508"/>
        <v>0</v>
      </c>
      <c r="AF229" s="22">
        <f t="shared" si="508"/>
        <v>104296055</v>
      </c>
      <c r="AG229" s="22">
        <f t="shared" si="508"/>
        <v>518689</v>
      </c>
      <c r="AH229" s="22">
        <f t="shared" si="508"/>
        <v>0</v>
      </c>
      <c r="AI229" s="22">
        <f t="shared" si="508"/>
        <v>3339546</v>
      </c>
      <c r="AJ229" s="22">
        <f t="shared" si="508"/>
        <v>9416163</v>
      </c>
      <c r="AK229" s="22">
        <f t="shared" ref="AK229:BP229" si="509">SUM(AK230+AK232+AK235+AK276+AK289+AK291)</f>
        <v>832273</v>
      </c>
      <c r="AL229" s="22">
        <f t="shared" si="509"/>
        <v>1468321</v>
      </c>
      <c r="AM229" s="22">
        <f t="shared" si="509"/>
        <v>16582</v>
      </c>
      <c r="AN229" s="22">
        <f t="shared" si="509"/>
        <v>533047</v>
      </c>
      <c r="AO229" s="22">
        <f t="shared" si="509"/>
        <v>2953727</v>
      </c>
      <c r="AP229" s="22">
        <f t="shared" si="509"/>
        <v>16833</v>
      </c>
      <c r="AQ229" s="22">
        <f t="shared" si="509"/>
        <v>21850</v>
      </c>
      <c r="AR229" s="22">
        <f t="shared" si="509"/>
        <v>103718</v>
      </c>
      <c r="AS229" s="22">
        <f t="shared" si="509"/>
        <v>6669862</v>
      </c>
      <c r="AT229" s="22">
        <f t="shared" si="509"/>
        <v>850061</v>
      </c>
      <c r="AU229" s="22">
        <f t="shared" si="509"/>
        <v>538147</v>
      </c>
      <c r="AV229" s="22">
        <f t="shared" si="509"/>
        <v>0</v>
      </c>
      <c r="AW229" s="22">
        <f t="shared" si="509"/>
        <v>5888</v>
      </c>
      <c r="AX229" s="22">
        <f t="shared" si="509"/>
        <v>59506</v>
      </c>
      <c r="AY229" s="22">
        <f t="shared" si="509"/>
        <v>1587686</v>
      </c>
      <c r="AZ229" s="22">
        <f t="shared" si="509"/>
        <v>0</v>
      </c>
      <c r="BA229" s="22">
        <f t="shared" si="509"/>
        <v>443431</v>
      </c>
      <c r="BB229" s="22">
        <f t="shared" si="509"/>
        <v>74920725</v>
      </c>
      <c r="BC229" s="22">
        <f t="shared" si="509"/>
        <v>9130166</v>
      </c>
      <c r="BD229" s="22">
        <f t="shared" si="509"/>
        <v>0</v>
      </c>
      <c r="BE229" s="22">
        <f t="shared" si="509"/>
        <v>0</v>
      </c>
      <c r="BF229" s="22">
        <f t="shared" si="509"/>
        <v>0</v>
      </c>
      <c r="BG229" s="22">
        <f t="shared" si="509"/>
        <v>0</v>
      </c>
      <c r="BH229" s="22">
        <f t="shared" si="509"/>
        <v>0</v>
      </c>
      <c r="BI229" s="22">
        <f t="shared" si="509"/>
        <v>0</v>
      </c>
      <c r="BJ229" s="22">
        <f t="shared" si="509"/>
        <v>0</v>
      </c>
      <c r="BK229" s="22">
        <f t="shared" si="509"/>
        <v>0</v>
      </c>
      <c r="BL229" s="22">
        <f t="shared" si="509"/>
        <v>9121332</v>
      </c>
      <c r="BM229" s="22">
        <f t="shared" si="509"/>
        <v>3999587</v>
      </c>
      <c r="BN229" s="22">
        <f t="shared" si="509"/>
        <v>0</v>
      </c>
      <c r="BO229" s="22">
        <f t="shared" si="509"/>
        <v>0</v>
      </c>
      <c r="BP229" s="22">
        <f t="shared" si="509"/>
        <v>0</v>
      </c>
      <c r="BQ229" s="22">
        <f t="shared" ref="BQ229:CO229" si="510">SUM(BQ230+BQ232+BQ235+BQ276+BQ289+BQ291)</f>
        <v>8834</v>
      </c>
      <c r="BR229" s="22">
        <f t="shared" si="510"/>
        <v>0</v>
      </c>
      <c r="BS229" s="22">
        <f t="shared" si="510"/>
        <v>0</v>
      </c>
      <c r="BT229" s="22">
        <f t="shared" si="510"/>
        <v>5000</v>
      </c>
      <c r="BU229" s="22">
        <f t="shared" si="510"/>
        <v>0</v>
      </c>
      <c r="BV229" s="22">
        <f t="shared" si="510"/>
        <v>0</v>
      </c>
      <c r="BW229" s="22">
        <f t="shared" si="510"/>
        <v>0</v>
      </c>
      <c r="BX229" s="22">
        <f t="shared" si="510"/>
        <v>0</v>
      </c>
      <c r="BY229" s="22">
        <f t="shared" si="510"/>
        <v>0</v>
      </c>
      <c r="BZ229" s="22">
        <f t="shared" si="510"/>
        <v>0</v>
      </c>
      <c r="CA229" s="22">
        <f t="shared" si="510"/>
        <v>3834</v>
      </c>
      <c r="CB229" s="22">
        <f t="shared" si="510"/>
        <v>0</v>
      </c>
      <c r="CC229" s="22">
        <f t="shared" si="510"/>
        <v>85594527</v>
      </c>
      <c r="CD229" s="22">
        <f t="shared" si="510"/>
        <v>20932860</v>
      </c>
      <c r="CE229" s="22">
        <f t="shared" si="510"/>
        <v>14720361</v>
      </c>
      <c r="CF229" s="22">
        <f t="shared" si="510"/>
        <v>308846</v>
      </c>
      <c r="CG229" s="22">
        <f t="shared" si="510"/>
        <v>14411515</v>
      </c>
      <c r="CH229" s="22">
        <f t="shared" si="510"/>
        <v>1000000</v>
      </c>
      <c r="CI229" s="22">
        <f t="shared" si="510"/>
        <v>0</v>
      </c>
      <c r="CJ229" s="22">
        <f t="shared" si="510"/>
        <v>0</v>
      </c>
      <c r="CK229" s="22">
        <f t="shared" si="510"/>
        <v>1000000</v>
      </c>
      <c r="CL229" s="22">
        <f t="shared" si="510"/>
        <v>0</v>
      </c>
      <c r="CM229" s="22">
        <f t="shared" si="510"/>
        <v>5212499</v>
      </c>
      <c r="CN229" s="22">
        <f t="shared" si="510"/>
        <v>4246877</v>
      </c>
      <c r="CO229" s="22">
        <f t="shared" si="510"/>
        <v>965622</v>
      </c>
      <c r="CP229" s="22"/>
      <c r="CQ229" s="22">
        <f t="shared" ref="CQ229:CX229" si="511">SUM(CQ230+CQ232+CQ235+CQ276+CQ289+CQ291)</f>
        <v>0</v>
      </c>
      <c r="CR229" s="22">
        <f t="shared" si="511"/>
        <v>0</v>
      </c>
      <c r="CS229" s="22">
        <f t="shared" si="511"/>
        <v>0</v>
      </c>
      <c r="CT229" s="22">
        <f t="shared" si="511"/>
        <v>64661667</v>
      </c>
      <c r="CU229" s="22">
        <f t="shared" si="511"/>
        <v>0</v>
      </c>
      <c r="CV229" s="22">
        <f t="shared" si="511"/>
        <v>0</v>
      </c>
      <c r="CW229" s="22">
        <f t="shared" si="511"/>
        <v>0</v>
      </c>
      <c r="CX229" s="23">
        <f t="shared" si="511"/>
        <v>0</v>
      </c>
    </row>
    <row r="230" spans="1:102" ht="15.75" x14ac:dyDescent="0.25">
      <c r="A230" s="7"/>
      <c r="B230" s="8" t="s">
        <v>359</v>
      </c>
      <c r="C230" s="8" t="s">
        <v>1</v>
      </c>
      <c r="D230" s="9" t="s">
        <v>360</v>
      </c>
      <c r="E230" s="10">
        <f>SUM(E231)</f>
        <v>6811768</v>
      </c>
      <c r="F230" s="11">
        <f t="shared" ref="F230:BW230" si="512">SUM(F231)</f>
        <v>0</v>
      </c>
      <c r="G230" s="11">
        <f t="shared" si="512"/>
        <v>0</v>
      </c>
      <c r="H230" s="11">
        <f t="shared" si="512"/>
        <v>0</v>
      </c>
      <c r="I230" s="11">
        <f t="shared" si="512"/>
        <v>0</v>
      </c>
      <c r="J230" s="11">
        <f t="shared" si="512"/>
        <v>0</v>
      </c>
      <c r="K230" s="11">
        <f t="shared" si="512"/>
        <v>0</v>
      </c>
      <c r="L230" s="11">
        <f t="shared" si="512"/>
        <v>0</v>
      </c>
      <c r="M230" s="11">
        <f t="shared" si="512"/>
        <v>0</v>
      </c>
      <c r="N230" s="11">
        <f t="shared" si="512"/>
        <v>0</v>
      </c>
      <c r="O230" s="11">
        <f t="shared" si="512"/>
        <v>0</v>
      </c>
      <c r="P230" s="11">
        <f t="shared" si="512"/>
        <v>0</v>
      </c>
      <c r="Q230" s="11">
        <f t="shared" si="512"/>
        <v>0</v>
      </c>
      <c r="R230" s="11">
        <f t="shared" si="512"/>
        <v>0</v>
      </c>
      <c r="S230" s="11">
        <f t="shared" si="512"/>
        <v>0</v>
      </c>
      <c r="T230" s="11">
        <f t="shared" si="512"/>
        <v>0</v>
      </c>
      <c r="U230" s="11">
        <f t="shared" si="512"/>
        <v>0</v>
      </c>
      <c r="V230" s="11">
        <f t="shared" si="512"/>
        <v>0</v>
      </c>
      <c r="W230" s="11">
        <f t="shared" si="512"/>
        <v>0</v>
      </c>
      <c r="X230" s="11">
        <f t="shared" si="512"/>
        <v>0</v>
      </c>
      <c r="Y230" s="11">
        <f t="shared" si="512"/>
        <v>0</v>
      </c>
      <c r="Z230" s="11">
        <f t="shared" si="512"/>
        <v>0</v>
      </c>
      <c r="AA230" s="11">
        <f t="shared" si="512"/>
        <v>0</v>
      </c>
      <c r="AB230" s="11">
        <f t="shared" si="512"/>
        <v>0</v>
      </c>
      <c r="AC230" s="11">
        <f t="shared" si="512"/>
        <v>0</v>
      </c>
      <c r="AD230" s="11">
        <f t="shared" si="512"/>
        <v>0</v>
      </c>
      <c r="AE230" s="11">
        <f t="shared" si="512"/>
        <v>0</v>
      </c>
      <c r="AF230" s="11">
        <f t="shared" si="512"/>
        <v>0</v>
      </c>
      <c r="AG230" s="11">
        <f t="shared" si="512"/>
        <v>0</v>
      </c>
      <c r="AH230" s="11">
        <f t="shared" si="512"/>
        <v>0</v>
      </c>
      <c r="AI230" s="11">
        <f t="shared" si="512"/>
        <v>0</v>
      </c>
      <c r="AJ230" s="11">
        <f t="shared" si="512"/>
        <v>0</v>
      </c>
      <c r="AK230" s="11">
        <f t="shared" si="512"/>
        <v>0</v>
      </c>
      <c r="AL230" s="11">
        <f t="shared" si="512"/>
        <v>0</v>
      </c>
      <c r="AM230" s="11">
        <f t="shared" si="512"/>
        <v>0</v>
      </c>
      <c r="AN230" s="11">
        <f t="shared" si="512"/>
        <v>0</v>
      </c>
      <c r="AO230" s="11">
        <f t="shared" si="512"/>
        <v>0</v>
      </c>
      <c r="AP230" s="11">
        <f t="shared" si="512"/>
        <v>0</v>
      </c>
      <c r="AQ230" s="11">
        <f t="shared" si="512"/>
        <v>0</v>
      </c>
      <c r="AR230" s="11">
        <f t="shared" si="512"/>
        <v>0</v>
      </c>
      <c r="AS230" s="11">
        <f t="shared" si="512"/>
        <v>0</v>
      </c>
      <c r="AT230" s="11">
        <f t="shared" si="512"/>
        <v>0</v>
      </c>
      <c r="AU230" s="11">
        <f t="shared" si="512"/>
        <v>0</v>
      </c>
      <c r="AV230" s="11"/>
      <c r="AW230" s="11"/>
      <c r="AX230" s="11">
        <f t="shared" si="512"/>
        <v>0</v>
      </c>
      <c r="AY230" s="11">
        <f t="shared" si="512"/>
        <v>0</v>
      </c>
      <c r="AZ230" s="11">
        <f t="shared" si="512"/>
        <v>0</v>
      </c>
      <c r="BA230" s="11">
        <f t="shared" si="512"/>
        <v>0</v>
      </c>
      <c r="BB230" s="11">
        <f t="shared" si="512"/>
        <v>0</v>
      </c>
      <c r="BC230" s="11">
        <f t="shared" si="512"/>
        <v>0</v>
      </c>
      <c r="BD230" s="11">
        <f t="shared" si="512"/>
        <v>0</v>
      </c>
      <c r="BE230" s="11">
        <f t="shared" si="512"/>
        <v>0</v>
      </c>
      <c r="BF230" s="11">
        <f t="shared" si="512"/>
        <v>0</v>
      </c>
      <c r="BG230" s="11">
        <f t="shared" si="512"/>
        <v>0</v>
      </c>
      <c r="BH230" s="11">
        <f t="shared" si="512"/>
        <v>0</v>
      </c>
      <c r="BI230" s="11">
        <f t="shared" si="512"/>
        <v>0</v>
      </c>
      <c r="BJ230" s="11">
        <f t="shared" si="512"/>
        <v>0</v>
      </c>
      <c r="BK230" s="11">
        <f t="shared" si="512"/>
        <v>0</v>
      </c>
      <c r="BL230" s="11">
        <f t="shared" si="512"/>
        <v>0</v>
      </c>
      <c r="BM230" s="11">
        <f t="shared" si="512"/>
        <v>0</v>
      </c>
      <c r="BN230" s="11">
        <f t="shared" si="512"/>
        <v>0</v>
      </c>
      <c r="BO230" s="11">
        <f t="shared" si="512"/>
        <v>0</v>
      </c>
      <c r="BP230" s="11">
        <f t="shared" si="512"/>
        <v>0</v>
      </c>
      <c r="BQ230" s="11">
        <f t="shared" si="512"/>
        <v>0</v>
      </c>
      <c r="BR230" s="11">
        <f t="shared" si="512"/>
        <v>0</v>
      </c>
      <c r="BS230" s="11">
        <f t="shared" si="512"/>
        <v>0</v>
      </c>
      <c r="BT230" s="11">
        <f t="shared" si="512"/>
        <v>0</v>
      </c>
      <c r="BU230" s="11">
        <f t="shared" si="512"/>
        <v>0</v>
      </c>
      <c r="BV230" s="11">
        <f t="shared" si="512"/>
        <v>0</v>
      </c>
      <c r="BW230" s="11">
        <f t="shared" si="512"/>
        <v>0</v>
      </c>
      <c r="BX230" s="11">
        <f t="shared" ref="BX230:CX230" si="513">SUM(BX231)</f>
        <v>0</v>
      </c>
      <c r="BY230" s="11">
        <f t="shared" si="513"/>
        <v>0</v>
      </c>
      <c r="BZ230" s="11">
        <f t="shared" si="513"/>
        <v>0</v>
      </c>
      <c r="CA230" s="11">
        <f t="shared" si="513"/>
        <v>0</v>
      </c>
      <c r="CB230" s="11">
        <f t="shared" si="513"/>
        <v>0</v>
      </c>
      <c r="CC230" s="11">
        <f t="shared" si="513"/>
        <v>6811768</v>
      </c>
      <c r="CD230" s="11">
        <f t="shared" si="513"/>
        <v>0</v>
      </c>
      <c r="CE230" s="11">
        <f t="shared" si="513"/>
        <v>0</v>
      </c>
      <c r="CF230" s="11">
        <f t="shared" si="513"/>
        <v>0</v>
      </c>
      <c r="CG230" s="11">
        <f t="shared" si="513"/>
        <v>0</v>
      </c>
      <c r="CH230" s="11">
        <f t="shared" si="513"/>
        <v>0</v>
      </c>
      <c r="CI230" s="11">
        <f t="shared" si="513"/>
        <v>0</v>
      </c>
      <c r="CJ230" s="11">
        <f t="shared" si="513"/>
        <v>0</v>
      </c>
      <c r="CK230" s="11">
        <f t="shared" si="513"/>
        <v>0</v>
      </c>
      <c r="CL230" s="11">
        <f t="shared" si="513"/>
        <v>0</v>
      </c>
      <c r="CM230" s="11">
        <f t="shared" si="513"/>
        <v>0</v>
      </c>
      <c r="CN230" s="11">
        <f t="shared" si="513"/>
        <v>0</v>
      </c>
      <c r="CO230" s="11">
        <f t="shared" si="513"/>
        <v>0</v>
      </c>
      <c r="CP230" s="11"/>
      <c r="CQ230" s="11">
        <f t="shared" si="513"/>
        <v>0</v>
      </c>
      <c r="CR230" s="11">
        <f t="shared" si="513"/>
        <v>0</v>
      </c>
      <c r="CS230" s="11">
        <f t="shared" si="513"/>
        <v>0</v>
      </c>
      <c r="CT230" s="11">
        <f t="shared" si="513"/>
        <v>6811768</v>
      </c>
      <c r="CU230" s="11">
        <f t="shared" si="513"/>
        <v>0</v>
      </c>
      <c r="CV230" s="11">
        <f t="shared" si="513"/>
        <v>0</v>
      </c>
      <c r="CW230" s="11">
        <f t="shared" si="513"/>
        <v>0</v>
      </c>
      <c r="CX230" s="12">
        <f t="shared" si="513"/>
        <v>0</v>
      </c>
    </row>
    <row r="231" spans="1:102" ht="15.75" x14ac:dyDescent="0.25">
      <c r="A231" s="13"/>
      <c r="B231" s="14" t="s">
        <v>1</v>
      </c>
      <c r="C231" s="14" t="s">
        <v>361</v>
      </c>
      <c r="D231" s="15" t="s">
        <v>360</v>
      </c>
      <c r="E231" s="10">
        <f>SUM(F231+CC231+CU231)</f>
        <v>6811768</v>
      </c>
      <c r="F231" s="11">
        <f>SUM(G231+BC231)</f>
        <v>0</v>
      </c>
      <c r="G231" s="11">
        <f>SUM(H231+I231+J231+Q231+T231+U231+V231+AF231+AE231)</f>
        <v>0</v>
      </c>
      <c r="H231" s="11">
        <v>0</v>
      </c>
      <c r="I231" s="11">
        <v>0</v>
      </c>
      <c r="J231" s="11">
        <f>SUM(K231:P231)</f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f t="shared" si="334"/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f t="shared" ref="V231" si="514">SUM(W231:AD231)</f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f>SUM(AG231:BB231)</f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0</v>
      </c>
      <c r="AT231" s="11">
        <v>0</v>
      </c>
      <c r="AU231" s="11">
        <v>0</v>
      </c>
      <c r="AV231" s="11"/>
      <c r="AW231" s="11"/>
      <c r="AX231" s="11">
        <v>0</v>
      </c>
      <c r="AY231" s="11">
        <v>0</v>
      </c>
      <c r="AZ231" s="11">
        <v>0</v>
      </c>
      <c r="BA231" s="11">
        <v>0</v>
      </c>
      <c r="BB231" s="11">
        <v>0</v>
      </c>
      <c r="BC231" s="11">
        <f>SUM(BD231+BH231+BL231+BN231+BQ231)</f>
        <v>0</v>
      </c>
      <c r="BD231" s="11">
        <f>SUM(BE231:BG231)</f>
        <v>0</v>
      </c>
      <c r="BE231" s="11">
        <v>0</v>
      </c>
      <c r="BF231" s="11">
        <v>0</v>
      </c>
      <c r="BG231" s="11">
        <v>0</v>
      </c>
      <c r="BH231" s="11">
        <f t="shared" si="336"/>
        <v>0</v>
      </c>
      <c r="BI231" s="11">
        <v>0</v>
      </c>
      <c r="BJ231" s="11">
        <v>0</v>
      </c>
      <c r="BK231" s="11">
        <v>0</v>
      </c>
      <c r="BL231" s="11">
        <v>0</v>
      </c>
      <c r="BM231" s="11">
        <v>0</v>
      </c>
      <c r="BN231" s="11">
        <f t="shared" si="337"/>
        <v>0</v>
      </c>
      <c r="BO231" s="11">
        <v>0</v>
      </c>
      <c r="BP231" s="11">
        <v>0</v>
      </c>
      <c r="BQ231" s="11">
        <f t="shared" si="338"/>
        <v>0</v>
      </c>
      <c r="BR231" s="11">
        <v>0</v>
      </c>
      <c r="BS231" s="11">
        <v>0</v>
      </c>
      <c r="BT231" s="11">
        <v>0</v>
      </c>
      <c r="BU231" s="11">
        <v>0</v>
      </c>
      <c r="BV231" s="11">
        <v>0</v>
      </c>
      <c r="BW231" s="11">
        <v>0</v>
      </c>
      <c r="BX231" s="11">
        <v>0</v>
      </c>
      <c r="BY231" s="11">
        <v>0</v>
      </c>
      <c r="BZ231" s="11">
        <v>0</v>
      </c>
      <c r="CA231" s="11">
        <v>0</v>
      </c>
      <c r="CB231" s="11">
        <v>0</v>
      </c>
      <c r="CC231" s="11">
        <f>SUM(CD231+CT231)</f>
        <v>6811768</v>
      </c>
      <c r="CD231" s="11">
        <f>SUM(CE231+CH231+CM231)</f>
        <v>0</v>
      </c>
      <c r="CE231" s="11">
        <f t="shared" si="339"/>
        <v>0</v>
      </c>
      <c r="CF231" s="11">
        <v>0</v>
      </c>
      <c r="CG231" s="11">
        <v>0</v>
      </c>
      <c r="CH231" s="11">
        <f>SUM(CI231:CL231)</f>
        <v>0</v>
      </c>
      <c r="CI231" s="11">
        <v>0</v>
      </c>
      <c r="CJ231" s="11">
        <v>0</v>
      </c>
      <c r="CK231" s="11">
        <v>0</v>
      </c>
      <c r="CL231" s="11">
        <v>0</v>
      </c>
      <c r="CM231" s="11">
        <f>SUM(CN231:CQ231)</f>
        <v>0</v>
      </c>
      <c r="CN231" s="11">
        <v>0</v>
      </c>
      <c r="CO231" s="11">
        <v>0</v>
      </c>
      <c r="CP231" s="11"/>
      <c r="CQ231" s="11">
        <v>0</v>
      </c>
      <c r="CR231" s="11">
        <v>0</v>
      </c>
      <c r="CS231" s="11">
        <v>0</v>
      </c>
      <c r="CT231" s="11">
        <f>11000000-4188232</f>
        <v>6811768</v>
      </c>
      <c r="CU231" s="11">
        <f t="shared" si="340"/>
        <v>0</v>
      </c>
      <c r="CV231" s="11">
        <f t="shared" si="341"/>
        <v>0</v>
      </c>
      <c r="CW231" s="11">
        <v>0</v>
      </c>
      <c r="CX231" s="12">
        <v>0</v>
      </c>
    </row>
    <row r="232" spans="1:102" ht="15.75" x14ac:dyDescent="0.25">
      <c r="A232" s="7"/>
      <c r="B232" s="8" t="s">
        <v>362</v>
      </c>
      <c r="C232" s="8" t="s">
        <v>1</v>
      </c>
      <c r="D232" s="9" t="s">
        <v>363</v>
      </c>
      <c r="E232" s="10">
        <f>SUM(E233:E234)</f>
        <v>9436316</v>
      </c>
      <c r="F232" s="11">
        <f t="shared" ref="F232:BW232" si="515">SUM(F233:F234)</f>
        <v>9425808</v>
      </c>
      <c r="G232" s="11">
        <f t="shared" si="515"/>
        <v>9421974</v>
      </c>
      <c r="H232" s="11">
        <f t="shared" si="515"/>
        <v>959098</v>
      </c>
      <c r="I232" s="11">
        <f t="shared" si="515"/>
        <v>233841</v>
      </c>
      <c r="J232" s="11">
        <f t="shared" si="515"/>
        <v>73332</v>
      </c>
      <c r="K232" s="11">
        <f t="shared" si="515"/>
        <v>0</v>
      </c>
      <c r="L232" s="11">
        <f t="shared" si="515"/>
        <v>0</v>
      </c>
      <c r="M232" s="11">
        <f t="shared" si="515"/>
        <v>0</v>
      </c>
      <c r="N232" s="11">
        <f t="shared" si="515"/>
        <v>0</v>
      </c>
      <c r="O232" s="11">
        <f t="shared" si="515"/>
        <v>55863</v>
      </c>
      <c r="P232" s="11">
        <f t="shared" si="515"/>
        <v>17469</v>
      </c>
      <c r="Q232" s="11">
        <f t="shared" si="515"/>
        <v>43467</v>
      </c>
      <c r="R232" s="11">
        <f t="shared" si="515"/>
        <v>0</v>
      </c>
      <c r="S232" s="11">
        <f t="shared" si="515"/>
        <v>43467</v>
      </c>
      <c r="T232" s="11">
        <f t="shared" si="515"/>
        <v>0</v>
      </c>
      <c r="U232" s="11">
        <f t="shared" si="515"/>
        <v>28146</v>
      </c>
      <c r="V232" s="11">
        <f t="shared" si="515"/>
        <v>59676</v>
      </c>
      <c r="W232" s="11">
        <f t="shared" si="515"/>
        <v>6200</v>
      </c>
      <c r="X232" s="11">
        <f t="shared" si="515"/>
        <v>38627</v>
      </c>
      <c r="Y232" s="11">
        <f t="shared" si="515"/>
        <v>13088</v>
      </c>
      <c r="Z232" s="11">
        <f t="shared" si="515"/>
        <v>1761</v>
      </c>
      <c r="AA232" s="11">
        <f t="shared" si="515"/>
        <v>0</v>
      </c>
      <c r="AB232" s="11">
        <f t="shared" si="515"/>
        <v>0</v>
      </c>
      <c r="AC232" s="11">
        <f t="shared" si="515"/>
        <v>0</v>
      </c>
      <c r="AD232" s="11">
        <f t="shared" si="515"/>
        <v>0</v>
      </c>
      <c r="AE232" s="11">
        <f t="shared" si="515"/>
        <v>0</v>
      </c>
      <c r="AF232" s="11">
        <f t="shared" si="515"/>
        <v>8024414</v>
      </c>
      <c r="AG232" s="11">
        <f t="shared" si="515"/>
        <v>0</v>
      </c>
      <c r="AH232" s="11">
        <f t="shared" si="515"/>
        <v>0</v>
      </c>
      <c r="AI232" s="11">
        <f t="shared" si="515"/>
        <v>2118</v>
      </c>
      <c r="AJ232" s="11">
        <f t="shared" si="515"/>
        <v>3854</v>
      </c>
      <c r="AK232" s="11">
        <f t="shared" si="515"/>
        <v>0</v>
      </c>
      <c r="AL232" s="11">
        <f t="shared" si="515"/>
        <v>374</v>
      </c>
      <c r="AM232" s="11">
        <f t="shared" si="515"/>
        <v>0</v>
      </c>
      <c r="AN232" s="11">
        <f t="shared" si="515"/>
        <v>0</v>
      </c>
      <c r="AO232" s="11">
        <f t="shared" si="515"/>
        <v>0</v>
      </c>
      <c r="AP232" s="11">
        <f t="shared" si="515"/>
        <v>6833</v>
      </c>
      <c r="AQ232" s="11">
        <f t="shared" si="515"/>
        <v>0</v>
      </c>
      <c r="AR232" s="11">
        <f t="shared" ref="AR232" si="516">SUM(AR233:AR234)</f>
        <v>0</v>
      </c>
      <c r="AS232" s="11">
        <f t="shared" si="515"/>
        <v>0</v>
      </c>
      <c r="AT232" s="11">
        <f t="shared" si="515"/>
        <v>56117</v>
      </c>
      <c r="AU232" s="11">
        <f t="shared" si="515"/>
        <v>1760</v>
      </c>
      <c r="AV232" s="11"/>
      <c r="AW232" s="11"/>
      <c r="AX232" s="11">
        <f t="shared" si="515"/>
        <v>0</v>
      </c>
      <c r="AY232" s="11">
        <f t="shared" si="515"/>
        <v>0</v>
      </c>
      <c r="AZ232" s="11">
        <f t="shared" si="515"/>
        <v>0</v>
      </c>
      <c r="BA232" s="11">
        <f t="shared" si="515"/>
        <v>2221</v>
      </c>
      <c r="BB232" s="11">
        <f t="shared" si="515"/>
        <v>7951137</v>
      </c>
      <c r="BC232" s="11">
        <f t="shared" si="515"/>
        <v>3834</v>
      </c>
      <c r="BD232" s="11">
        <f t="shared" si="515"/>
        <v>0</v>
      </c>
      <c r="BE232" s="11">
        <f t="shared" si="515"/>
        <v>0</v>
      </c>
      <c r="BF232" s="11">
        <f t="shared" si="515"/>
        <v>0</v>
      </c>
      <c r="BG232" s="11">
        <f t="shared" si="515"/>
        <v>0</v>
      </c>
      <c r="BH232" s="11">
        <f t="shared" si="515"/>
        <v>0</v>
      </c>
      <c r="BI232" s="11">
        <f t="shared" si="515"/>
        <v>0</v>
      </c>
      <c r="BJ232" s="11">
        <f t="shared" si="515"/>
        <v>0</v>
      </c>
      <c r="BK232" s="11">
        <f t="shared" si="515"/>
        <v>0</v>
      </c>
      <c r="BL232" s="11">
        <f t="shared" si="515"/>
        <v>0</v>
      </c>
      <c r="BM232" s="11">
        <f t="shared" si="515"/>
        <v>0</v>
      </c>
      <c r="BN232" s="11">
        <f t="shared" si="515"/>
        <v>0</v>
      </c>
      <c r="BO232" s="11">
        <f t="shared" si="515"/>
        <v>0</v>
      </c>
      <c r="BP232" s="11">
        <f t="shared" ref="BP232" si="517">SUM(BP233:BP234)</f>
        <v>0</v>
      </c>
      <c r="BQ232" s="11">
        <f t="shared" si="515"/>
        <v>3834</v>
      </c>
      <c r="BR232" s="11">
        <f t="shared" si="515"/>
        <v>0</v>
      </c>
      <c r="BS232" s="11">
        <f t="shared" si="515"/>
        <v>0</v>
      </c>
      <c r="BT232" s="11">
        <f t="shared" si="515"/>
        <v>0</v>
      </c>
      <c r="BU232" s="11">
        <f t="shared" si="515"/>
        <v>0</v>
      </c>
      <c r="BV232" s="11">
        <f t="shared" si="515"/>
        <v>0</v>
      </c>
      <c r="BW232" s="11">
        <f t="shared" si="515"/>
        <v>0</v>
      </c>
      <c r="BX232" s="11">
        <f t="shared" ref="BX232:CX232" si="518">SUM(BX233:BX234)</f>
        <v>0</v>
      </c>
      <c r="BY232" s="11">
        <f t="shared" si="518"/>
        <v>0</v>
      </c>
      <c r="BZ232" s="11">
        <f t="shared" si="518"/>
        <v>0</v>
      </c>
      <c r="CA232" s="11">
        <f t="shared" si="518"/>
        <v>3834</v>
      </c>
      <c r="CB232" s="11">
        <f t="shared" si="518"/>
        <v>0</v>
      </c>
      <c r="CC232" s="11">
        <f t="shared" si="518"/>
        <v>10508</v>
      </c>
      <c r="CD232" s="11">
        <f t="shared" si="518"/>
        <v>10508</v>
      </c>
      <c r="CE232" s="11">
        <f t="shared" si="518"/>
        <v>10508</v>
      </c>
      <c r="CF232" s="11">
        <f t="shared" si="518"/>
        <v>0</v>
      </c>
      <c r="CG232" s="11">
        <f t="shared" si="518"/>
        <v>10508</v>
      </c>
      <c r="CH232" s="11">
        <f t="shared" si="518"/>
        <v>0</v>
      </c>
      <c r="CI232" s="11">
        <f t="shared" si="518"/>
        <v>0</v>
      </c>
      <c r="CJ232" s="11">
        <f t="shared" si="518"/>
        <v>0</v>
      </c>
      <c r="CK232" s="11">
        <f t="shared" si="518"/>
        <v>0</v>
      </c>
      <c r="CL232" s="11">
        <f t="shared" si="518"/>
        <v>0</v>
      </c>
      <c r="CM232" s="11">
        <f t="shared" si="518"/>
        <v>0</v>
      </c>
      <c r="CN232" s="11">
        <f t="shared" si="518"/>
        <v>0</v>
      </c>
      <c r="CO232" s="11">
        <f t="shared" si="518"/>
        <v>0</v>
      </c>
      <c r="CP232" s="11"/>
      <c r="CQ232" s="11">
        <f t="shared" si="518"/>
        <v>0</v>
      </c>
      <c r="CR232" s="11">
        <f t="shared" si="518"/>
        <v>0</v>
      </c>
      <c r="CS232" s="11">
        <f t="shared" si="518"/>
        <v>0</v>
      </c>
      <c r="CT232" s="11">
        <f t="shared" si="518"/>
        <v>0</v>
      </c>
      <c r="CU232" s="11">
        <f t="shared" si="518"/>
        <v>0</v>
      </c>
      <c r="CV232" s="11">
        <f t="shared" si="518"/>
        <v>0</v>
      </c>
      <c r="CW232" s="11">
        <f t="shared" si="518"/>
        <v>0</v>
      </c>
      <c r="CX232" s="12">
        <f t="shared" si="518"/>
        <v>0</v>
      </c>
    </row>
    <row r="233" spans="1:102" ht="15.75" x14ac:dyDescent="0.25">
      <c r="A233" s="13"/>
      <c r="B233" s="14" t="s">
        <v>1</v>
      </c>
      <c r="C233" s="14" t="s">
        <v>364</v>
      </c>
      <c r="D233" s="15" t="s">
        <v>365</v>
      </c>
      <c r="E233" s="10">
        <f>SUM(F233+CC233+CU233)</f>
        <v>7950660</v>
      </c>
      <c r="F233" s="11">
        <f>SUM(G233+BC233)</f>
        <v>7950660</v>
      </c>
      <c r="G233" s="11">
        <f>SUM(H233+I233+J233+Q233+T233+U233+V233+AF233+AE233)</f>
        <v>7950660</v>
      </c>
      <c r="H233" s="11">
        <v>0</v>
      </c>
      <c r="I233" s="11">
        <v>0</v>
      </c>
      <c r="J233" s="11">
        <f>SUM(K233:P233)</f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f t="shared" ref="Q233:Q295" si="519">SUM(R233:S233)</f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f t="shared" ref="V233:V234" si="520">SUM(W233:AD233)</f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f>SUM(AG233:BB233)</f>
        <v>7950660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0</v>
      </c>
      <c r="AU233" s="11">
        <v>0</v>
      </c>
      <c r="AV233" s="11"/>
      <c r="AW233" s="11"/>
      <c r="AX233" s="11">
        <v>0</v>
      </c>
      <c r="AY233" s="11">
        <v>0</v>
      </c>
      <c r="AZ233" s="11">
        <v>0</v>
      </c>
      <c r="BA233" s="11">
        <v>0</v>
      </c>
      <c r="BB233" s="11">
        <v>7950660</v>
      </c>
      <c r="BC233" s="11">
        <f>SUM(BD233+BH233+BL233+BN233+BQ233)</f>
        <v>0</v>
      </c>
      <c r="BD233" s="11">
        <f>SUM(BE233:BG233)</f>
        <v>0</v>
      </c>
      <c r="BE233" s="11">
        <v>0</v>
      </c>
      <c r="BF233" s="11">
        <v>0</v>
      </c>
      <c r="BG233" s="11">
        <v>0</v>
      </c>
      <c r="BH233" s="11">
        <f t="shared" ref="BH233:BH295" si="521">SUM(BJ233:BK233)</f>
        <v>0</v>
      </c>
      <c r="BI233" s="11">
        <v>0</v>
      </c>
      <c r="BJ233" s="11">
        <v>0</v>
      </c>
      <c r="BK233" s="11">
        <v>0</v>
      </c>
      <c r="BL233" s="11">
        <v>0</v>
      </c>
      <c r="BM233" s="11">
        <v>0</v>
      </c>
      <c r="BN233" s="11">
        <f t="shared" ref="BN233:BN295" si="522">SUM(BO233)</f>
        <v>0</v>
      </c>
      <c r="BO233" s="11">
        <v>0</v>
      </c>
      <c r="BP233" s="11">
        <v>0</v>
      </c>
      <c r="BQ233" s="11">
        <f t="shared" ref="BQ233:BQ295" si="523">SUM(BR233:CB233)</f>
        <v>0</v>
      </c>
      <c r="BR233" s="11">
        <v>0</v>
      </c>
      <c r="BS233" s="11">
        <v>0</v>
      </c>
      <c r="BT233" s="11">
        <v>0</v>
      </c>
      <c r="BU233" s="11">
        <v>0</v>
      </c>
      <c r="BV233" s="11">
        <v>0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f>SUM(CD233+CT233)</f>
        <v>0</v>
      </c>
      <c r="CD233" s="11">
        <f>SUM(CE233+CH233+CM233)</f>
        <v>0</v>
      </c>
      <c r="CE233" s="11">
        <f t="shared" ref="CE233:CE295" si="524">SUM(CF233:CG233)</f>
        <v>0</v>
      </c>
      <c r="CF233" s="11">
        <v>0</v>
      </c>
      <c r="CG233" s="11">
        <v>0</v>
      </c>
      <c r="CH233" s="11">
        <f>SUM(CI233:CL233)</f>
        <v>0</v>
      </c>
      <c r="CI233" s="11">
        <v>0</v>
      </c>
      <c r="CJ233" s="11">
        <v>0</v>
      </c>
      <c r="CK233" s="11">
        <v>0</v>
      </c>
      <c r="CL233" s="11">
        <v>0</v>
      </c>
      <c r="CM233" s="11">
        <f>SUM(CN233:CQ233)</f>
        <v>0</v>
      </c>
      <c r="CN233" s="11">
        <v>0</v>
      </c>
      <c r="CO233" s="11">
        <v>0</v>
      </c>
      <c r="CP233" s="11"/>
      <c r="CQ233" s="11">
        <v>0</v>
      </c>
      <c r="CR233" s="11">
        <v>0</v>
      </c>
      <c r="CS233" s="11">
        <v>0</v>
      </c>
      <c r="CT233" s="11">
        <v>0</v>
      </c>
      <c r="CU233" s="11">
        <f t="shared" ref="CU233:CU295" si="525">SUM(CV233)</f>
        <v>0</v>
      </c>
      <c r="CV233" s="11">
        <f t="shared" ref="CV233:CV295" si="526">SUM(CW233:CX233)</f>
        <v>0</v>
      </c>
      <c r="CW233" s="11">
        <v>0</v>
      </c>
      <c r="CX233" s="12">
        <v>0</v>
      </c>
    </row>
    <row r="234" spans="1:102" ht="31.5" x14ac:dyDescent="0.25">
      <c r="A234" s="13"/>
      <c r="B234" s="14" t="s">
        <v>1</v>
      </c>
      <c r="C234" s="14" t="s">
        <v>364</v>
      </c>
      <c r="D234" s="15" t="s">
        <v>366</v>
      </c>
      <c r="E234" s="10">
        <f>SUM(F234+CC234+CU234)</f>
        <v>1485656</v>
      </c>
      <c r="F234" s="11">
        <f>SUM(G234+BC234)</f>
        <v>1475148</v>
      </c>
      <c r="G234" s="11">
        <f>SUM(H234+I234+J234+Q234+T234+U234+V234+AF234+AE234)</f>
        <v>1471314</v>
      </c>
      <c r="H234" s="16">
        <f>723925+215868+19305</f>
        <v>959098</v>
      </c>
      <c r="I234" s="16">
        <f>173320+55695+4826</f>
        <v>233841</v>
      </c>
      <c r="J234" s="11">
        <f>SUM(K234:P234)</f>
        <v>73332</v>
      </c>
      <c r="K234" s="11">
        <v>0</v>
      </c>
      <c r="L234" s="11">
        <v>0</v>
      </c>
      <c r="M234" s="11">
        <v>0</v>
      </c>
      <c r="N234" s="11">
        <v>0</v>
      </c>
      <c r="O234" s="16">
        <v>55863</v>
      </c>
      <c r="P234" s="16">
        <v>17469</v>
      </c>
      <c r="Q234" s="11">
        <f t="shared" si="519"/>
        <v>43467</v>
      </c>
      <c r="R234" s="11">
        <v>0</v>
      </c>
      <c r="S234" s="11">
        <f>36271+7196</f>
        <v>43467</v>
      </c>
      <c r="T234" s="11">
        <v>0</v>
      </c>
      <c r="U234" s="11">
        <v>28146</v>
      </c>
      <c r="V234" s="11">
        <f t="shared" si="520"/>
        <v>59676</v>
      </c>
      <c r="W234" s="11">
        <v>6200</v>
      </c>
      <c r="X234" s="16">
        <v>38627</v>
      </c>
      <c r="Y234" s="16">
        <v>13088</v>
      </c>
      <c r="Z234" s="16">
        <v>1761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f>SUM(AG234:BB234)</f>
        <v>73754</v>
      </c>
      <c r="AG234" s="11">
        <v>0</v>
      </c>
      <c r="AH234" s="11"/>
      <c r="AI234" s="11">
        <v>2118</v>
      </c>
      <c r="AJ234" s="11">
        <v>3854</v>
      </c>
      <c r="AK234" s="11">
        <v>0</v>
      </c>
      <c r="AL234" s="11">
        <v>374</v>
      </c>
      <c r="AM234" s="11">
        <v>0</v>
      </c>
      <c r="AN234" s="11"/>
      <c r="AO234" s="11">
        <v>0</v>
      </c>
      <c r="AP234" s="11">
        <v>6833</v>
      </c>
      <c r="AQ234" s="11">
        <v>0</v>
      </c>
      <c r="AR234" s="11">
        <v>0</v>
      </c>
      <c r="AS234" s="11">
        <v>0</v>
      </c>
      <c r="AT234" s="27">
        <v>56117</v>
      </c>
      <c r="AU234" s="27">
        <v>1760</v>
      </c>
      <c r="AV234" s="27"/>
      <c r="AW234" s="27"/>
      <c r="AX234" s="27">
        <v>0</v>
      </c>
      <c r="AY234" s="27">
        <f>0</f>
        <v>0</v>
      </c>
      <c r="AZ234" s="11">
        <v>0</v>
      </c>
      <c r="BA234" s="11">
        <f>3660-1439</f>
        <v>2221</v>
      </c>
      <c r="BB234" s="11">
        <v>477</v>
      </c>
      <c r="BC234" s="11">
        <f>SUM(BD234+BH234+BL234+BN234+BQ234)</f>
        <v>3834</v>
      </c>
      <c r="BD234" s="11">
        <f>SUM(BE234:BG234)</f>
        <v>0</v>
      </c>
      <c r="BE234" s="11">
        <v>0</v>
      </c>
      <c r="BF234" s="11">
        <v>0</v>
      </c>
      <c r="BG234" s="11">
        <v>0</v>
      </c>
      <c r="BH234" s="11">
        <f t="shared" si="521"/>
        <v>0</v>
      </c>
      <c r="BI234" s="11">
        <v>0</v>
      </c>
      <c r="BJ234" s="11">
        <v>0</v>
      </c>
      <c r="BK234" s="11">
        <v>0</v>
      </c>
      <c r="BL234" s="11">
        <v>0</v>
      </c>
      <c r="BM234" s="11">
        <v>0</v>
      </c>
      <c r="BN234" s="11">
        <f t="shared" si="522"/>
        <v>0</v>
      </c>
      <c r="BO234" s="11">
        <v>0</v>
      </c>
      <c r="BP234" s="11">
        <v>0</v>
      </c>
      <c r="BQ234" s="11">
        <f t="shared" si="523"/>
        <v>3834</v>
      </c>
      <c r="BR234" s="11">
        <v>0</v>
      </c>
      <c r="BS234" s="11">
        <v>0</v>
      </c>
      <c r="BT234" s="11">
        <v>0</v>
      </c>
      <c r="BU234" s="11">
        <v>0</v>
      </c>
      <c r="BV234" s="11">
        <v>0</v>
      </c>
      <c r="BW234" s="11">
        <v>0</v>
      </c>
      <c r="BX234" s="11">
        <v>0</v>
      </c>
      <c r="BY234" s="11">
        <v>0</v>
      </c>
      <c r="BZ234" s="11">
        <v>0</v>
      </c>
      <c r="CA234" s="11">
        <v>3834</v>
      </c>
      <c r="CB234" s="11">
        <v>0</v>
      </c>
      <c r="CC234" s="11">
        <f>SUM(CD234+CT234)</f>
        <v>10508</v>
      </c>
      <c r="CD234" s="11">
        <f>SUM(CE234+CH234+CM234)</f>
        <v>10508</v>
      </c>
      <c r="CE234" s="11">
        <f t="shared" si="524"/>
        <v>10508</v>
      </c>
      <c r="CF234" s="11">
        <v>0</v>
      </c>
      <c r="CG234" s="11">
        <f>16265-5757</f>
        <v>10508</v>
      </c>
      <c r="CH234" s="11">
        <f>SUM(CI234:CL234)</f>
        <v>0</v>
      </c>
      <c r="CI234" s="11">
        <v>0</v>
      </c>
      <c r="CJ234" s="11">
        <v>0</v>
      </c>
      <c r="CK234" s="11">
        <v>0</v>
      </c>
      <c r="CL234" s="11">
        <v>0</v>
      </c>
      <c r="CM234" s="11">
        <f>SUM(CN234:CQ234)</f>
        <v>0</v>
      </c>
      <c r="CN234" s="11">
        <v>0</v>
      </c>
      <c r="CO234" s="11">
        <v>0</v>
      </c>
      <c r="CP234" s="11"/>
      <c r="CQ234" s="11">
        <v>0</v>
      </c>
      <c r="CR234" s="11">
        <v>0</v>
      </c>
      <c r="CS234" s="11">
        <v>0</v>
      </c>
      <c r="CT234" s="11">
        <v>0</v>
      </c>
      <c r="CU234" s="11">
        <f t="shared" si="525"/>
        <v>0</v>
      </c>
      <c r="CV234" s="11">
        <f t="shared" si="526"/>
        <v>0</v>
      </c>
      <c r="CW234" s="11">
        <v>0</v>
      </c>
      <c r="CX234" s="12">
        <v>0</v>
      </c>
    </row>
    <row r="235" spans="1:102" ht="31.5" x14ac:dyDescent="0.25">
      <c r="A235" s="7"/>
      <c r="B235" s="8" t="s">
        <v>367</v>
      </c>
      <c r="C235" s="8" t="s">
        <v>1</v>
      </c>
      <c r="D235" s="9" t="s">
        <v>368</v>
      </c>
      <c r="E235" s="10">
        <f t="shared" ref="E235:AJ235" si="527">SUM(E236:E249)</f>
        <v>309411373</v>
      </c>
      <c r="F235" s="11">
        <f t="shared" si="527"/>
        <v>288489021</v>
      </c>
      <c r="G235" s="11">
        <f t="shared" si="527"/>
        <v>284484434</v>
      </c>
      <c r="H235" s="11">
        <f t="shared" si="527"/>
        <v>97904991</v>
      </c>
      <c r="I235" s="11">
        <f t="shared" si="527"/>
        <v>19554752</v>
      </c>
      <c r="J235" s="11">
        <f t="shared" si="527"/>
        <v>56817086</v>
      </c>
      <c r="K235" s="11">
        <f t="shared" si="527"/>
        <v>22561905</v>
      </c>
      <c r="L235" s="11">
        <f t="shared" si="527"/>
        <v>2482200</v>
      </c>
      <c r="M235" s="11">
        <f t="shared" si="527"/>
        <v>2651854</v>
      </c>
      <c r="N235" s="11">
        <f t="shared" si="527"/>
        <v>3000</v>
      </c>
      <c r="O235" s="11">
        <f t="shared" si="527"/>
        <v>9200001</v>
      </c>
      <c r="P235" s="11">
        <f t="shared" si="527"/>
        <v>19918126</v>
      </c>
      <c r="Q235" s="11">
        <f t="shared" si="527"/>
        <v>857419</v>
      </c>
      <c r="R235" s="11">
        <f t="shared" si="527"/>
        <v>187015</v>
      </c>
      <c r="S235" s="11">
        <f t="shared" si="527"/>
        <v>670404</v>
      </c>
      <c r="T235" s="11">
        <f t="shared" si="527"/>
        <v>97055</v>
      </c>
      <c r="U235" s="11">
        <f t="shared" si="527"/>
        <v>1992277</v>
      </c>
      <c r="V235" s="11">
        <f t="shared" si="527"/>
        <v>12104513</v>
      </c>
      <c r="W235" s="11">
        <f t="shared" si="527"/>
        <v>2888071</v>
      </c>
      <c r="X235" s="11">
        <f t="shared" si="527"/>
        <v>4420003</v>
      </c>
      <c r="Y235" s="11">
        <f t="shared" si="527"/>
        <v>2292754</v>
      </c>
      <c r="Z235" s="11">
        <f t="shared" si="527"/>
        <v>1142974</v>
      </c>
      <c r="AA235" s="11">
        <f t="shared" si="527"/>
        <v>795640</v>
      </c>
      <c r="AB235" s="11">
        <f t="shared" si="527"/>
        <v>358164</v>
      </c>
      <c r="AC235" s="11">
        <f t="shared" si="527"/>
        <v>0</v>
      </c>
      <c r="AD235" s="11">
        <f t="shared" si="527"/>
        <v>206907</v>
      </c>
      <c r="AE235" s="11">
        <f t="shared" si="527"/>
        <v>0</v>
      </c>
      <c r="AF235" s="11">
        <f t="shared" si="527"/>
        <v>95156341</v>
      </c>
      <c r="AG235" s="11">
        <f t="shared" si="527"/>
        <v>518689</v>
      </c>
      <c r="AH235" s="11">
        <f t="shared" si="527"/>
        <v>0</v>
      </c>
      <c r="AI235" s="11">
        <f t="shared" si="527"/>
        <v>3337428</v>
      </c>
      <c r="AJ235" s="11">
        <f t="shared" si="527"/>
        <v>9412309</v>
      </c>
      <c r="AK235" s="11">
        <f t="shared" ref="AK235:BP235" si="528">SUM(AK236:AK249)</f>
        <v>832273</v>
      </c>
      <c r="AL235" s="11">
        <f t="shared" si="528"/>
        <v>1467947</v>
      </c>
      <c r="AM235" s="11">
        <f t="shared" si="528"/>
        <v>16582</v>
      </c>
      <c r="AN235" s="11">
        <f t="shared" si="528"/>
        <v>533047</v>
      </c>
      <c r="AO235" s="11">
        <f t="shared" si="528"/>
        <v>2953727</v>
      </c>
      <c r="AP235" s="11">
        <f t="shared" si="528"/>
        <v>10000</v>
      </c>
      <c r="AQ235" s="11">
        <f t="shared" si="528"/>
        <v>21850</v>
      </c>
      <c r="AR235" s="11">
        <f t="shared" si="528"/>
        <v>103718</v>
      </c>
      <c r="AS235" s="11">
        <f t="shared" si="528"/>
        <v>6669862</v>
      </c>
      <c r="AT235" s="11">
        <f t="shared" si="528"/>
        <v>793944</v>
      </c>
      <c r="AU235" s="11">
        <f t="shared" si="528"/>
        <v>536387</v>
      </c>
      <c r="AV235" s="11">
        <f t="shared" si="528"/>
        <v>0</v>
      </c>
      <c r="AW235" s="11">
        <f t="shared" si="528"/>
        <v>5888</v>
      </c>
      <c r="AX235" s="11">
        <f t="shared" si="528"/>
        <v>59506</v>
      </c>
      <c r="AY235" s="11">
        <f t="shared" si="528"/>
        <v>1587686</v>
      </c>
      <c r="AZ235" s="11">
        <f t="shared" si="528"/>
        <v>0</v>
      </c>
      <c r="BA235" s="11">
        <f t="shared" si="528"/>
        <v>441210</v>
      </c>
      <c r="BB235" s="11">
        <f t="shared" si="528"/>
        <v>65854288</v>
      </c>
      <c r="BC235" s="11">
        <f t="shared" si="528"/>
        <v>4004587</v>
      </c>
      <c r="BD235" s="11">
        <f t="shared" si="528"/>
        <v>0</v>
      </c>
      <c r="BE235" s="11">
        <f t="shared" si="528"/>
        <v>0</v>
      </c>
      <c r="BF235" s="11">
        <f t="shared" si="528"/>
        <v>0</v>
      </c>
      <c r="BG235" s="11">
        <f t="shared" si="528"/>
        <v>0</v>
      </c>
      <c r="BH235" s="11">
        <f t="shared" si="528"/>
        <v>0</v>
      </c>
      <c r="BI235" s="11">
        <f t="shared" si="528"/>
        <v>0</v>
      </c>
      <c r="BJ235" s="11">
        <f t="shared" si="528"/>
        <v>0</v>
      </c>
      <c r="BK235" s="11">
        <f t="shared" si="528"/>
        <v>0</v>
      </c>
      <c r="BL235" s="11">
        <f t="shared" si="528"/>
        <v>3999587</v>
      </c>
      <c r="BM235" s="11">
        <f t="shared" si="528"/>
        <v>3999587</v>
      </c>
      <c r="BN235" s="11">
        <f t="shared" si="528"/>
        <v>0</v>
      </c>
      <c r="BO235" s="11">
        <f t="shared" si="528"/>
        <v>0</v>
      </c>
      <c r="BP235" s="11">
        <f t="shared" si="528"/>
        <v>0</v>
      </c>
      <c r="BQ235" s="11">
        <f t="shared" ref="BQ235:CO235" si="529">SUM(BQ236:BQ249)</f>
        <v>5000</v>
      </c>
      <c r="BR235" s="11">
        <f t="shared" si="529"/>
        <v>0</v>
      </c>
      <c r="BS235" s="11">
        <f t="shared" si="529"/>
        <v>0</v>
      </c>
      <c r="BT235" s="11">
        <f t="shared" si="529"/>
        <v>5000</v>
      </c>
      <c r="BU235" s="11">
        <f t="shared" si="529"/>
        <v>0</v>
      </c>
      <c r="BV235" s="11">
        <f t="shared" si="529"/>
        <v>0</v>
      </c>
      <c r="BW235" s="11">
        <f t="shared" si="529"/>
        <v>0</v>
      </c>
      <c r="BX235" s="11">
        <f t="shared" si="529"/>
        <v>0</v>
      </c>
      <c r="BY235" s="11">
        <f t="shared" si="529"/>
        <v>0</v>
      </c>
      <c r="BZ235" s="11">
        <f t="shared" si="529"/>
        <v>0</v>
      </c>
      <c r="CA235" s="11">
        <f t="shared" si="529"/>
        <v>0</v>
      </c>
      <c r="CB235" s="11">
        <f t="shared" si="529"/>
        <v>0</v>
      </c>
      <c r="CC235" s="11">
        <f t="shared" si="529"/>
        <v>20922352</v>
      </c>
      <c r="CD235" s="11">
        <f t="shared" si="529"/>
        <v>20922352</v>
      </c>
      <c r="CE235" s="11">
        <f t="shared" si="529"/>
        <v>14709853</v>
      </c>
      <c r="CF235" s="11">
        <f t="shared" si="529"/>
        <v>308846</v>
      </c>
      <c r="CG235" s="11">
        <f t="shared" si="529"/>
        <v>14401007</v>
      </c>
      <c r="CH235" s="11">
        <f t="shared" si="529"/>
        <v>1000000</v>
      </c>
      <c r="CI235" s="11">
        <f t="shared" si="529"/>
        <v>0</v>
      </c>
      <c r="CJ235" s="11">
        <f t="shared" si="529"/>
        <v>0</v>
      </c>
      <c r="CK235" s="11">
        <f t="shared" si="529"/>
        <v>1000000</v>
      </c>
      <c r="CL235" s="11">
        <f t="shared" si="529"/>
        <v>0</v>
      </c>
      <c r="CM235" s="11">
        <f t="shared" si="529"/>
        <v>5212499</v>
      </c>
      <c r="CN235" s="11">
        <f t="shared" si="529"/>
        <v>4246877</v>
      </c>
      <c r="CO235" s="11">
        <f t="shared" si="529"/>
        <v>965622</v>
      </c>
      <c r="CP235" s="11"/>
      <c r="CQ235" s="11">
        <f t="shared" ref="CQ235:CX235" si="530">SUM(CQ236:CQ249)</f>
        <v>0</v>
      </c>
      <c r="CR235" s="11">
        <f t="shared" si="530"/>
        <v>0</v>
      </c>
      <c r="CS235" s="11">
        <f t="shared" si="530"/>
        <v>0</v>
      </c>
      <c r="CT235" s="11">
        <f t="shared" si="530"/>
        <v>0</v>
      </c>
      <c r="CU235" s="11">
        <f t="shared" si="530"/>
        <v>0</v>
      </c>
      <c r="CV235" s="11">
        <f t="shared" si="530"/>
        <v>0</v>
      </c>
      <c r="CW235" s="11">
        <f t="shared" si="530"/>
        <v>0</v>
      </c>
      <c r="CX235" s="12">
        <f t="shared" si="530"/>
        <v>0</v>
      </c>
    </row>
    <row r="236" spans="1:102" ht="31.5" x14ac:dyDescent="0.25">
      <c r="A236" s="13" t="s">
        <v>1</v>
      </c>
      <c r="B236" s="14" t="s">
        <v>1</v>
      </c>
      <c r="C236" s="14" t="s">
        <v>70</v>
      </c>
      <c r="D236" s="15" t="s">
        <v>369</v>
      </c>
      <c r="E236" s="10">
        <f t="shared" ref="E236:E248" si="531">SUM(F236+CC236+CU236)</f>
        <v>6602120</v>
      </c>
      <c r="F236" s="11">
        <f t="shared" ref="F236:F248" si="532">SUM(G236+BC236)</f>
        <v>6602120</v>
      </c>
      <c r="G236" s="11">
        <f t="shared" ref="G236:G248" si="533">SUM(H236+I236+J236+Q236+T236+U236+V236+AF236+AE236)</f>
        <v>6602120</v>
      </c>
      <c r="H236" s="11">
        <v>0</v>
      </c>
      <c r="I236" s="11">
        <v>0</v>
      </c>
      <c r="J236" s="11">
        <f t="shared" ref="J236:J248" si="534">SUM(K236:P236)</f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f t="shared" si="519"/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f t="shared" ref="V236:V248" si="535">SUM(W236:AD236)</f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f t="shared" ref="AF236:AF248" si="536">SUM(AG236:BB236)</f>
        <v>6602120</v>
      </c>
      <c r="AG236" s="11">
        <v>0</v>
      </c>
      <c r="AH236" s="11">
        <v>0</v>
      </c>
      <c r="AI236" s="11">
        <v>0</v>
      </c>
      <c r="AJ236" s="11">
        <v>0</v>
      </c>
      <c r="AK236" s="16"/>
      <c r="AL236" s="16"/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6"/>
      <c r="AS236" s="16">
        <f>7952120-1350000</f>
        <v>6602120</v>
      </c>
      <c r="AT236" s="11">
        <v>0</v>
      </c>
      <c r="AU236" s="11">
        <v>0</v>
      </c>
      <c r="AV236" s="11"/>
      <c r="AW236" s="11"/>
      <c r="AX236" s="11">
        <v>0</v>
      </c>
      <c r="AY236" s="11">
        <v>0</v>
      </c>
      <c r="AZ236" s="11">
        <v>0</v>
      </c>
      <c r="BA236" s="11">
        <v>0</v>
      </c>
      <c r="BB236" s="16"/>
      <c r="BC236" s="11">
        <f t="shared" ref="BC236:BC248" si="537">SUM(BD236+BH236+BL236+BN236+BQ236)</f>
        <v>0</v>
      </c>
      <c r="BD236" s="11">
        <f t="shared" ref="BD236:BD248" si="538">SUM(BE236:BG236)</f>
        <v>0</v>
      </c>
      <c r="BE236" s="11">
        <v>0</v>
      </c>
      <c r="BF236" s="11">
        <v>0</v>
      </c>
      <c r="BG236" s="11">
        <v>0</v>
      </c>
      <c r="BH236" s="11">
        <f t="shared" si="521"/>
        <v>0</v>
      </c>
      <c r="BI236" s="11">
        <v>0</v>
      </c>
      <c r="BJ236" s="11">
        <v>0</v>
      </c>
      <c r="BK236" s="11">
        <v>0</v>
      </c>
      <c r="BL236" s="11">
        <v>0</v>
      </c>
      <c r="BM236" s="11">
        <v>0</v>
      </c>
      <c r="BN236" s="11">
        <f t="shared" si="522"/>
        <v>0</v>
      </c>
      <c r="BO236" s="11">
        <v>0</v>
      </c>
      <c r="BP236" s="11">
        <v>0</v>
      </c>
      <c r="BQ236" s="11">
        <f t="shared" si="523"/>
        <v>0</v>
      </c>
      <c r="BR236" s="11">
        <v>0</v>
      </c>
      <c r="BS236" s="11">
        <v>0</v>
      </c>
      <c r="BT236" s="11">
        <v>0</v>
      </c>
      <c r="BU236" s="11">
        <v>0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f t="shared" ref="CC236:CC248" si="539">SUM(CD236+CT236)</f>
        <v>0</v>
      </c>
      <c r="CD236" s="11">
        <f t="shared" ref="CD236:CD248" si="540">SUM(CE236+CH236+CM236)</f>
        <v>0</v>
      </c>
      <c r="CE236" s="11">
        <f t="shared" si="524"/>
        <v>0</v>
      </c>
      <c r="CF236" s="11">
        <v>0</v>
      </c>
      <c r="CG236" s="11">
        <v>0</v>
      </c>
      <c r="CH236" s="11">
        <f t="shared" ref="CH236:CH248" si="541">SUM(CI236:CL236)</f>
        <v>0</v>
      </c>
      <c r="CI236" s="11">
        <v>0</v>
      </c>
      <c r="CJ236" s="11">
        <v>0</v>
      </c>
      <c r="CK236" s="11">
        <v>0</v>
      </c>
      <c r="CL236" s="11">
        <v>0</v>
      </c>
      <c r="CM236" s="11">
        <f t="shared" ref="CM236:CM248" si="542">SUM(CN236:CQ236)</f>
        <v>0</v>
      </c>
      <c r="CN236" s="11">
        <v>0</v>
      </c>
      <c r="CO236" s="11">
        <v>0</v>
      </c>
      <c r="CP236" s="11"/>
      <c r="CQ236" s="11">
        <v>0</v>
      </c>
      <c r="CR236" s="11">
        <v>0</v>
      </c>
      <c r="CS236" s="11">
        <v>0</v>
      </c>
      <c r="CT236" s="11">
        <v>0</v>
      </c>
      <c r="CU236" s="11">
        <f t="shared" si="525"/>
        <v>0</v>
      </c>
      <c r="CV236" s="11">
        <f t="shared" si="526"/>
        <v>0</v>
      </c>
      <c r="CW236" s="11">
        <v>0</v>
      </c>
      <c r="CX236" s="12">
        <v>0</v>
      </c>
    </row>
    <row r="237" spans="1:102" ht="15.75" x14ac:dyDescent="0.25">
      <c r="A237" s="28" t="s">
        <v>1</v>
      </c>
      <c r="B237" s="29" t="s">
        <v>1</v>
      </c>
      <c r="C237" s="29" t="s">
        <v>82</v>
      </c>
      <c r="D237" s="30" t="s">
        <v>471</v>
      </c>
      <c r="E237" s="31">
        <f t="shared" si="531"/>
        <v>316326</v>
      </c>
      <c r="F237" s="27">
        <f t="shared" si="532"/>
        <v>0</v>
      </c>
      <c r="G237" s="11">
        <f t="shared" si="533"/>
        <v>0</v>
      </c>
      <c r="H237" s="27">
        <v>0</v>
      </c>
      <c r="I237" s="27">
        <v>0</v>
      </c>
      <c r="J237" s="27">
        <f t="shared" si="534"/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f t="shared" si="519"/>
        <v>0</v>
      </c>
      <c r="R237" s="27">
        <v>0</v>
      </c>
      <c r="S237" s="27">
        <v>0</v>
      </c>
      <c r="T237" s="27">
        <v>0</v>
      </c>
      <c r="U237" s="27">
        <v>0</v>
      </c>
      <c r="V237" s="11">
        <f t="shared" si="535"/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f t="shared" si="536"/>
        <v>0</v>
      </c>
      <c r="AG237" s="27">
        <v>0</v>
      </c>
      <c r="AH237" s="27">
        <v>0</v>
      </c>
      <c r="AI237" s="27">
        <v>0</v>
      </c>
      <c r="AJ237" s="27">
        <v>0</v>
      </c>
      <c r="AK237" s="32"/>
      <c r="AL237" s="32"/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  <c r="AT237" s="27">
        <v>0</v>
      </c>
      <c r="AU237" s="27">
        <v>0</v>
      </c>
      <c r="AV237" s="27"/>
      <c r="AW237" s="27"/>
      <c r="AX237" s="27">
        <v>0</v>
      </c>
      <c r="AY237" s="27">
        <v>0</v>
      </c>
      <c r="AZ237" s="27">
        <v>0</v>
      </c>
      <c r="BA237" s="27">
        <v>0</v>
      </c>
      <c r="BB237" s="32"/>
      <c r="BC237" s="27">
        <f t="shared" si="537"/>
        <v>0</v>
      </c>
      <c r="BD237" s="27">
        <f t="shared" si="538"/>
        <v>0</v>
      </c>
      <c r="BE237" s="27">
        <v>0</v>
      </c>
      <c r="BF237" s="27">
        <v>0</v>
      </c>
      <c r="BG237" s="27">
        <v>0</v>
      </c>
      <c r="BH237" s="27">
        <f t="shared" si="521"/>
        <v>0</v>
      </c>
      <c r="BI237" s="27">
        <v>0</v>
      </c>
      <c r="BJ237" s="27">
        <v>0</v>
      </c>
      <c r="BK237" s="27">
        <v>0</v>
      </c>
      <c r="BL237" s="27">
        <v>0</v>
      </c>
      <c r="BM237" s="27">
        <v>0</v>
      </c>
      <c r="BN237" s="27">
        <f t="shared" si="522"/>
        <v>0</v>
      </c>
      <c r="BO237" s="27">
        <v>0</v>
      </c>
      <c r="BP237" s="27">
        <v>0</v>
      </c>
      <c r="BQ237" s="27">
        <f t="shared" si="523"/>
        <v>0</v>
      </c>
      <c r="BR237" s="27">
        <v>0</v>
      </c>
      <c r="BS237" s="27">
        <v>0</v>
      </c>
      <c r="BT237" s="27">
        <v>0</v>
      </c>
      <c r="BU237" s="27">
        <v>0</v>
      </c>
      <c r="BV237" s="27">
        <v>0</v>
      </c>
      <c r="BW237" s="27">
        <v>0</v>
      </c>
      <c r="BX237" s="27">
        <v>0</v>
      </c>
      <c r="BY237" s="27">
        <v>0</v>
      </c>
      <c r="BZ237" s="27">
        <v>0</v>
      </c>
      <c r="CA237" s="27">
        <v>0</v>
      </c>
      <c r="CB237" s="27">
        <v>0</v>
      </c>
      <c r="CC237" s="27">
        <f t="shared" si="539"/>
        <v>316326</v>
      </c>
      <c r="CD237" s="27">
        <f t="shared" si="540"/>
        <v>316326</v>
      </c>
      <c r="CE237" s="27">
        <f t="shared" ref="CE237" si="543">SUM(CF237:CG237)</f>
        <v>316326</v>
      </c>
      <c r="CF237" s="27">
        <v>0</v>
      </c>
      <c r="CG237" s="27">
        <f>0+316326</f>
        <v>316326</v>
      </c>
      <c r="CH237" s="27">
        <f t="shared" si="541"/>
        <v>0</v>
      </c>
      <c r="CI237" s="27">
        <v>0</v>
      </c>
      <c r="CJ237" s="27">
        <v>0</v>
      </c>
      <c r="CK237" s="27">
        <v>0</v>
      </c>
      <c r="CL237" s="27">
        <v>0</v>
      </c>
      <c r="CM237" s="27">
        <f t="shared" si="542"/>
        <v>0</v>
      </c>
      <c r="CN237" s="27">
        <v>0</v>
      </c>
      <c r="CO237" s="27">
        <v>0</v>
      </c>
      <c r="CP237" s="27"/>
      <c r="CQ237" s="27">
        <v>0</v>
      </c>
      <c r="CR237" s="27">
        <v>0</v>
      </c>
      <c r="CS237" s="27">
        <v>0</v>
      </c>
      <c r="CT237" s="27">
        <v>0</v>
      </c>
      <c r="CU237" s="27">
        <f t="shared" ref="CU237" si="544">SUM(CV237)</f>
        <v>0</v>
      </c>
      <c r="CV237" s="27">
        <f t="shared" si="526"/>
        <v>0</v>
      </c>
      <c r="CW237" s="27">
        <v>0</v>
      </c>
      <c r="CX237" s="33">
        <v>0</v>
      </c>
    </row>
    <row r="238" spans="1:102" ht="15.75" x14ac:dyDescent="0.25">
      <c r="A238" s="28" t="s">
        <v>1</v>
      </c>
      <c r="B238" s="29" t="s">
        <v>1</v>
      </c>
      <c r="C238" s="29" t="s">
        <v>82</v>
      </c>
      <c r="D238" s="30" t="s">
        <v>370</v>
      </c>
      <c r="E238" s="31">
        <f t="shared" si="531"/>
        <v>6053337</v>
      </c>
      <c r="F238" s="27">
        <f t="shared" si="532"/>
        <v>6053337</v>
      </c>
      <c r="G238" s="11">
        <f t="shared" si="533"/>
        <v>6053337</v>
      </c>
      <c r="H238" s="27">
        <v>0</v>
      </c>
      <c r="I238" s="27">
        <v>0</v>
      </c>
      <c r="J238" s="27">
        <f t="shared" si="534"/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f t="shared" si="519"/>
        <v>0</v>
      </c>
      <c r="R238" s="27">
        <v>0</v>
      </c>
      <c r="S238" s="27">
        <v>0</v>
      </c>
      <c r="T238" s="27">
        <v>0</v>
      </c>
      <c r="U238" s="27">
        <v>0</v>
      </c>
      <c r="V238" s="11">
        <f t="shared" si="535"/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f t="shared" si="536"/>
        <v>6053337</v>
      </c>
      <c r="AG238" s="27">
        <v>0</v>
      </c>
      <c r="AH238" s="27">
        <v>0</v>
      </c>
      <c r="AI238" s="27">
        <v>0</v>
      </c>
      <c r="AJ238" s="27">
        <v>0</v>
      </c>
      <c r="AK238" s="32"/>
      <c r="AL238" s="32"/>
      <c r="AM238" s="27">
        <v>0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  <c r="AT238" s="27">
        <v>0</v>
      </c>
      <c r="AU238" s="27">
        <v>0</v>
      </c>
      <c r="AV238" s="27"/>
      <c r="AW238" s="27"/>
      <c r="AX238" s="27">
        <v>0</v>
      </c>
      <c r="AY238" s="27">
        <v>0</v>
      </c>
      <c r="AZ238" s="27">
        <v>0</v>
      </c>
      <c r="BA238" s="27">
        <v>0</v>
      </c>
      <c r="BB238" s="32">
        <v>6053337</v>
      </c>
      <c r="BC238" s="27">
        <f t="shared" si="537"/>
        <v>0</v>
      </c>
      <c r="BD238" s="27">
        <f t="shared" si="538"/>
        <v>0</v>
      </c>
      <c r="BE238" s="27">
        <v>0</v>
      </c>
      <c r="BF238" s="27">
        <v>0</v>
      </c>
      <c r="BG238" s="27">
        <v>0</v>
      </c>
      <c r="BH238" s="27">
        <f t="shared" si="521"/>
        <v>0</v>
      </c>
      <c r="BI238" s="27">
        <v>0</v>
      </c>
      <c r="BJ238" s="27">
        <v>0</v>
      </c>
      <c r="BK238" s="27">
        <v>0</v>
      </c>
      <c r="BL238" s="27">
        <v>0</v>
      </c>
      <c r="BM238" s="27">
        <v>0</v>
      </c>
      <c r="BN238" s="27">
        <f t="shared" si="522"/>
        <v>0</v>
      </c>
      <c r="BO238" s="27">
        <v>0</v>
      </c>
      <c r="BP238" s="27">
        <v>0</v>
      </c>
      <c r="BQ238" s="27">
        <f t="shared" si="523"/>
        <v>0</v>
      </c>
      <c r="BR238" s="27">
        <v>0</v>
      </c>
      <c r="BS238" s="27">
        <v>0</v>
      </c>
      <c r="BT238" s="27">
        <v>0</v>
      </c>
      <c r="BU238" s="27">
        <v>0</v>
      </c>
      <c r="BV238" s="27">
        <v>0</v>
      </c>
      <c r="BW238" s="27">
        <v>0</v>
      </c>
      <c r="BX238" s="27">
        <v>0</v>
      </c>
      <c r="BY238" s="27">
        <v>0</v>
      </c>
      <c r="BZ238" s="27">
        <v>0</v>
      </c>
      <c r="CA238" s="27">
        <v>0</v>
      </c>
      <c r="CB238" s="27">
        <v>0</v>
      </c>
      <c r="CC238" s="27">
        <f t="shared" si="539"/>
        <v>0</v>
      </c>
      <c r="CD238" s="27">
        <f t="shared" si="540"/>
        <v>0</v>
      </c>
      <c r="CE238" s="27">
        <f t="shared" si="524"/>
        <v>0</v>
      </c>
      <c r="CF238" s="27">
        <v>0</v>
      </c>
      <c r="CG238" s="27">
        <v>0</v>
      </c>
      <c r="CH238" s="27">
        <f t="shared" si="541"/>
        <v>0</v>
      </c>
      <c r="CI238" s="27">
        <v>0</v>
      </c>
      <c r="CJ238" s="27">
        <v>0</v>
      </c>
      <c r="CK238" s="27">
        <v>0</v>
      </c>
      <c r="CL238" s="27">
        <v>0</v>
      </c>
      <c r="CM238" s="27">
        <f t="shared" si="542"/>
        <v>0</v>
      </c>
      <c r="CN238" s="27">
        <v>0</v>
      </c>
      <c r="CO238" s="27">
        <v>0</v>
      </c>
      <c r="CP238" s="27"/>
      <c r="CQ238" s="27">
        <v>0</v>
      </c>
      <c r="CR238" s="27">
        <v>0</v>
      </c>
      <c r="CS238" s="27">
        <v>0</v>
      </c>
      <c r="CT238" s="27">
        <v>0</v>
      </c>
      <c r="CU238" s="27">
        <f t="shared" si="525"/>
        <v>0</v>
      </c>
      <c r="CV238" s="27">
        <f t="shared" si="526"/>
        <v>0</v>
      </c>
      <c r="CW238" s="27">
        <v>0</v>
      </c>
      <c r="CX238" s="33">
        <v>0</v>
      </c>
    </row>
    <row r="239" spans="1:102" ht="15.75" x14ac:dyDescent="0.25">
      <c r="A239" s="28"/>
      <c r="B239" s="29"/>
      <c r="C239" s="29" t="s">
        <v>82</v>
      </c>
      <c r="D239" s="30" t="s">
        <v>622</v>
      </c>
      <c r="E239" s="31">
        <f t="shared" ref="E239" si="545">SUM(F239+CC239+CU239)</f>
        <v>7086783</v>
      </c>
      <c r="F239" s="27">
        <f t="shared" ref="F239" si="546">SUM(G239+BC239)</f>
        <v>7086783</v>
      </c>
      <c r="G239" s="11">
        <f t="shared" si="533"/>
        <v>7086783</v>
      </c>
      <c r="H239" s="27">
        <v>0</v>
      </c>
      <c r="I239" s="27">
        <v>0</v>
      </c>
      <c r="J239" s="27">
        <f t="shared" si="534"/>
        <v>0</v>
      </c>
      <c r="K239" s="27"/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f t="shared" ref="Q239" si="547">SUM(R239:S239)</f>
        <v>0</v>
      </c>
      <c r="R239" s="27">
        <v>0</v>
      </c>
      <c r="S239" s="27">
        <v>0</v>
      </c>
      <c r="T239" s="27">
        <v>0</v>
      </c>
      <c r="U239" s="27">
        <v>0</v>
      </c>
      <c r="V239" s="11">
        <f t="shared" ref="V239" si="548">SUM(W239:AD239)</f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f t="shared" ref="AF239" si="549">SUM(AG239:BB239)</f>
        <v>7086783</v>
      </c>
      <c r="AG239" s="27">
        <v>0</v>
      </c>
      <c r="AH239" s="27">
        <v>0</v>
      </c>
      <c r="AI239" s="27">
        <v>0</v>
      </c>
      <c r="AJ239" s="27">
        <v>0</v>
      </c>
      <c r="AK239" s="32"/>
      <c r="AL239" s="32"/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  <c r="AT239" s="27">
        <v>0</v>
      </c>
      <c r="AU239" s="27">
        <v>0</v>
      </c>
      <c r="AV239" s="27"/>
      <c r="AW239" s="27"/>
      <c r="AX239" s="27">
        <v>0</v>
      </c>
      <c r="AY239" s="27">
        <v>0</v>
      </c>
      <c r="AZ239" s="27">
        <v>0</v>
      </c>
      <c r="BA239" s="27">
        <v>0</v>
      </c>
      <c r="BB239" s="32">
        <f>0+7086783</f>
        <v>7086783</v>
      </c>
      <c r="BC239" s="27">
        <f t="shared" ref="BC239" si="550">SUM(BD239+BH239+BL239+BN239+BQ239)</f>
        <v>0</v>
      </c>
      <c r="BD239" s="27">
        <f t="shared" ref="BD239" si="551">SUM(BE239:BG239)</f>
        <v>0</v>
      </c>
      <c r="BE239" s="27">
        <v>0</v>
      </c>
      <c r="BF239" s="27">
        <v>0</v>
      </c>
      <c r="BG239" s="27">
        <v>0</v>
      </c>
      <c r="BH239" s="27">
        <f t="shared" ref="BH239" si="552">SUM(BJ239:BK239)</f>
        <v>0</v>
      </c>
      <c r="BI239" s="27">
        <v>0</v>
      </c>
      <c r="BJ239" s="27">
        <v>0</v>
      </c>
      <c r="BK239" s="27">
        <v>0</v>
      </c>
      <c r="BL239" s="27">
        <v>0</v>
      </c>
      <c r="BM239" s="27">
        <v>0</v>
      </c>
      <c r="BN239" s="27">
        <f t="shared" ref="BN239" si="553">SUM(BO239)</f>
        <v>0</v>
      </c>
      <c r="BO239" s="27">
        <v>0</v>
      </c>
      <c r="BP239" s="27">
        <v>0</v>
      </c>
      <c r="BQ239" s="27">
        <f t="shared" ref="BQ239" si="554">SUM(BR239:CB239)</f>
        <v>0</v>
      </c>
      <c r="BR239" s="27">
        <v>0</v>
      </c>
      <c r="BS239" s="27">
        <v>0</v>
      </c>
      <c r="BT239" s="27">
        <v>0</v>
      </c>
      <c r="BU239" s="27">
        <v>0</v>
      </c>
      <c r="BV239" s="27">
        <v>0</v>
      </c>
      <c r="BW239" s="27">
        <v>0</v>
      </c>
      <c r="BX239" s="27">
        <v>0</v>
      </c>
      <c r="BY239" s="27">
        <v>0</v>
      </c>
      <c r="BZ239" s="27">
        <v>0</v>
      </c>
      <c r="CA239" s="27">
        <v>0</v>
      </c>
      <c r="CB239" s="27">
        <v>0</v>
      </c>
      <c r="CC239" s="27">
        <f t="shared" ref="CC239" si="555">SUM(CD239+CT239)</f>
        <v>0</v>
      </c>
      <c r="CD239" s="27">
        <f t="shared" ref="CD239" si="556">SUM(CE239+CH239+CM239)</f>
        <v>0</v>
      </c>
      <c r="CE239" s="27">
        <f t="shared" ref="CE239" si="557">SUM(CF239:CG239)</f>
        <v>0</v>
      </c>
      <c r="CF239" s="27">
        <v>0</v>
      </c>
      <c r="CG239" s="27">
        <v>0</v>
      </c>
      <c r="CH239" s="27">
        <f t="shared" ref="CH239" si="558">SUM(CI239:CL239)</f>
        <v>0</v>
      </c>
      <c r="CI239" s="27">
        <v>0</v>
      </c>
      <c r="CJ239" s="27">
        <v>0</v>
      </c>
      <c r="CK239" s="27">
        <v>0</v>
      </c>
      <c r="CL239" s="27">
        <v>0</v>
      </c>
      <c r="CM239" s="27">
        <f t="shared" ref="CM239" si="559">SUM(CN239:CQ239)</f>
        <v>0</v>
      </c>
      <c r="CN239" s="27">
        <v>0</v>
      </c>
      <c r="CO239" s="27">
        <v>0</v>
      </c>
      <c r="CP239" s="27"/>
      <c r="CQ239" s="27">
        <v>0</v>
      </c>
      <c r="CR239" s="27">
        <v>0</v>
      </c>
      <c r="CS239" s="27">
        <v>0</v>
      </c>
      <c r="CT239" s="27">
        <v>0</v>
      </c>
      <c r="CU239" s="27">
        <f t="shared" ref="CU239" si="560">SUM(CV239)</f>
        <v>0</v>
      </c>
      <c r="CV239" s="27">
        <f t="shared" ref="CV239" si="561">SUM(CW239:CX239)</f>
        <v>0</v>
      </c>
      <c r="CW239" s="27">
        <v>0</v>
      </c>
      <c r="CX239" s="33">
        <v>0</v>
      </c>
    </row>
    <row r="240" spans="1:102" ht="15.75" x14ac:dyDescent="0.25">
      <c r="A240" s="28" t="s">
        <v>1</v>
      </c>
      <c r="B240" s="29" t="s">
        <v>1</v>
      </c>
      <c r="C240" s="34">
        <v>113</v>
      </c>
      <c r="D240" s="35" t="s">
        <v>371</v>
      </c>
      <c r="E240" s="31">
        <f t="shared" si="531"/>
        <v>9355298</v>
      </c>
      <c r="F240" s="27">
        <f t="shared" si="532"/>
        <v>9355298</v>
      </c>
      <c r="G240" s="27">
        <f t="shared" si="533"/>
        <v>9355298</v>
      </c>
      <c r="H240" s="27">
        <v>0</v>
      </c>
      <c r="I240" s="27">
        <v>0</v>
      </c>
      <c r="J240" s="27">
        <f t="shared" si="534"/>
        <v>0</v>
      </c>
      <c r="K240" s="27"/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f t="shared" si="519"/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f t="shared" si="535"/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f t="shared" si="536"/>
        <v>9355298</v>
      </c>
      <c r="AG240" s="27">
        <v>0</v>
      </c>
      <c r="AH240" s="27">
        <v>0</v>
      </c>
      <c r="AI240" s="27">
        <v>0</v>
      </c>
      <c r="AJ240" s="27">
        <v>0</v>
      </c>
      <c r="AK240" s="32"/>
      <c r="AL240" s="32"/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/>
      <c r="AW240" s="27"/>
      <c r="AX240" s="27">
        <v>0</v>
      </c>
      <c r="AY240" s="27">
        <v>0</v>
      </c>
      <c r="AZ240" s="27">
        <v>0</v>
      </c>
      <c r="BA240" s="27">
        <v>0</v>
      </c>
      <c r="BB240" s="32">
        <v>9355298</v>
      </c>
      <c r="BC240" s="27">
        <f t="shared" si="537"/>
        <v>0</v>
      </c>
      <c r="BD240" s="27">
        <f t="shared" si="538"/>
        <v>0</v>
      </c>
      <c r="BE240" s="27">
        <v>0</v>
      </c>
      <c r="BF240" s="27">
        <v>0</v>
      </c>
      <c r="BG240" s="27">
        <v>0</v>
      </c>
      <c r="BH240" s="27">
        <f t="shared" si="521"/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f t="shared" si="522"/>
        <v>0</v>
      </c>
      <c r="BO240" s="27">
        <v>0</v>
      </c>
      <c r="BP240" s="27">
        <v>0</v>
      </c>
      <c r="BQ240" s="27">
        <f t="shared" si="523"/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f t="shared" si="539"/>
        <v>0</v>
      </c>
      <c r="CD240" s="27">
        <f t="shared" si="540"/>
        <v>0</v>
      </c>
      <c r="CE240" s="27">
        <f t="shared" ref="CE240" si="562">SUM(CF240:CG240)</f>
        <v>0</v>
      </c>
      <c r="CF240" s="27">
        <v>0</v>
      </c>
      <c r="CG240" s="27">
        <v>0</v>
      </c>
      <c r="CH240" s="27">
        <f t="shared" si="541"/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f t="shared" si="542"/>
        <v>0</v>
      </c>
      <c r="CN240" s="27">
        <v>0</v>
      </c>
      <c r="CO240" s="27">
        <v>0</v>
      </c>
      <c r="CP240" s="27"/>
      <c r="CQ240" s="27">
        <v>0</v>
      </c>
      <c r="CR240" s="27">
        <v>0</v>
      </c>
      <c r="CS240" s="27">
        <v>0</v>
      </c>
      <c r="CT240" s="27">
        <v>0</v>
      </c>
      <c r="CU240" s="27">
        <f t="shared" ref="CU240" si="563">SUM(CV240)</f>
        <v>0</v>
      </c>
      <c r="CV240" s="27">
        <f t="shared" si="526"/>
        <v>0</v>
      </c>
      <c r="CW240" s="27">
        <v>0</v>
      </c>
      <c r="CX240" s="33">
        <v>0</v>
      </c>
    </row>
    <row r="241" spans="1:102" ht="31.5" x14ac:dyDescent="0.25">
      <c r="A241" s="28"/>
      <c r="B241" s="29"/>
      <c r="C241" s="14" t="s">
        <v>88</v>
      </c>
      <c r="D241" s="15" t="s">
        <v>372</v>
      </c>
      <c r="E241" s="31">
        <f t="shared" si="531"/>
        <v>597586</v>
      </c>
      <c r="F241" s="27">
        <f t="shared" si="532"/>
        <v>597586</v>
      </c>
      <c r="G241" s="11">
        <f t="shared" si="533"/>
        <v>597586</v>
      </c>
      <c r="H241" s="27"/>
      <c r="I241" s="27"/>
      <c r="J241" s="27">
        <f t="shared" si="534"/>
        <v>0</v>
      </c>
      <c r="K241" s="27">
        <v>0</v>
      </c>
      <c r="L241" s="27"/>
      <c r="M241" s="27">
        <v>0</v>
      </c>
      <c r="N241" s="27">
        <v>0</v>
      </c>
      <c r="O241" s="27"/>
      <c r="P241" s="27"/>
      <c r="Q241" s="27">
        <f t="shared" si="519"/>
        <v>0</v>
      </c>
      <c r="R241" s="27"/>
      <c r="S241" s="27"/>
      <c r="T241" s="27">
        <v>0</v>
      </c>
      <c r="U241" s="27"/>
      <c r="V241" s="11">
        <f t="shared" si="535"/>
        <v>0</v>
      </c>
      <c r="W241" s="27"/>
      <c r="X241" s="27"/>
      <c r="Y241" s="27"/>
      <c r="Z241" s="27"/>
      <c r="AA241" s="27"/>
      <c r="AB241" s="27">
        <v>0</v>
      </c>
      <c r="AC241" s="27">
        <v>0</v>
      </c>
      <c r="AD241" s="27"/>
      <c r="AE241" s="27"/>
      <c r="AF241" s="27">
        <f t="shared" si="536"/>
        <v>597586</v>
      </c>
      <c r="AG241" s="27">
        <v>0</v>
      </c>
      <c r="AH241" s="27"/>
      <c r="AI241" s="27"/>
      <c r="AJ241" s="27"/>
      <c r="AK241" s="32"/>
      <c r="AL241" s="32">
        <v>597586</v>
      </c>
      <c r="AM241" s="27"/>
      <c r="AN241" s="27"/>
      <c r="AO241" s="27"/>
      <c r="AP241" s="27"/>
      <c r="AQ241" s="27"/>
      <c r="AR241" s="27">
        <v>0</v>
      </c>
      <c r="AS241" s="27">
        <v>0</v>
      </c>
      <c r="AT241" s="27">
        <v>0</v>
      </c>
      <c r="AU241" s="27"/>
      <c r="AV241" s="27"/>
      <c r="AW241" s="27"/>
      <c r="AX241" s="27">
        <v>0</v>
      </c>
      <c r="AY241" s="27">
        <v>0</v>
      </c>
      <c r="AZ241" s="27">
        <v>0</v>
      </c>
      <c r="BA241" s="27"/>
      <c r="BB241" s="32"/>
      <c r="BC241" s="27">
        <f t="shared" si="537"/>
        <v>0</v>
      </c>
      <c r="BD241" s="27">
        <f t="shared" si="538"/>
        <v>0</v>
      </c>
      <c r="BE241" s="27">
        <v>0</v>
      </c>
      <c r="BF241" s="27">
        <v>0</v>
      </c>
      <c r="BG241" s="27">
        <v>0</v>
      </c>
      <c r="BH241" s="27">
        <f t="shared" si="521"/>
        <v>0</v>
      </c>
      <c r="BI241" s="27">
        <v>0</v>
      </c>
      <c r="BJ241" s="27">
        <v>0</v>
      </c>
      <c r="BK241" s="27">
        <v>0</v>
      </c>
      <c r="BL241" s="27">
        <v>0</v>
      </c>
      <c r="BM241" s="27">
        <v>0</v>
      </c>
      <c r="BN241" s="27">
        <f t="shared" si="522"/>
        <v>0</v>
      </c>
      <c r="BO241" s="27">
        <v>0</v>
      </c>
      <c r="BP241" s="27">
        <v>0</v>
      </c>
      <c r="BQ241" s="27">
        <f t="shared" si="523"/>
        <v>0</v>
      </c>
      <c r="BR241" s="27">
        <v>0</v>
      </c>
      <c r="BS241" s="27">
        <v>0</v>
      </c>
      <c r="BT241" s="27">
        <v>0</v>
      </c>
      <c r="BU241" s="27">
        <v>0</v>
      </c>
      <c r="BV241" s="27">
        <v>0</v>
      </c>
      <c r="BW241" s="27">
        <v>0</v>
      </c>
      <c r="BX241" s="27">
        <v>0</v>
      </c>
      <c r="BY241" s="27">
        <v>0</v>
      </c>
      <c r="BZ241" s="27">
        <v>0</v>
      </c>
      <c r="CA241" s="27"/>
      <c r="CB241" s="27">
        <v>0</v>
      </c>
      <c r="CC241" s="27">
        <f t="shared" si="539"/>
        <v>0</v>
      </c>
      <c r="CD241" s="27">
        <f t="shared" si="540"/>
        <v>0</v>
      </c>
      <c r="CE241" s="27">
        <f t="shared" si="524"/>
        <v>0</v>
      </c>
      <c r="CF241" s="27">
        <v>0</v>
      </c>
      <c r="CG241" s="27"/>
      <c r="CH241" s="27">
        <f t="shared" si="541"/>
        <v>0</v>
      </c>
      <c r="CI241" s="27">
        <v>0</v>
      </c>
      <c r="CJ241" s="27">
        <v>0</v>
      </c>
      <c r="CK241" s="27">
        <v>0</v>
      </c>
      <c r="CL241" s="27">
        <v>0</v>
      </c>
      <c r="CM241" s="27">
        <f t="shared" si="542"/>
        <v>0</v>
      </c>
      <c r="CN241" s="27">
        <v>0</v>
      </c>
      <c r="CO241" s="27"/>
      <c r="CP241" s="27"/>
      <c r="CQ241" s="27">
        <v>0</v>
      </c>
      <c r="CR241" s="27">
        <f>SUM(CS241)</f>
        <v>0</v>
      </c>
      <c r="CS241" s="27"/>
      <c r="CT241" s="27">
        <v>0</v>
      </c>
      <c r="CU241" s="27">
        <f t="shared" ref="CU241" si="564">SUM(CV241)</f>
        <v>0</v>
      </c>
      <c r="CV241" s="27">
        <f t="shared" si="526"/>
        <v>0</v>
      </c>
      <c r="CW241" s="27">
        <v>0</v>
      </c>
      <c r="CX241" s="33">
        <v>0</v>
      </c>
    </row>
    <row r="242" spans="1:102" ht="31.5" x14ac:dyDescent="0.25">
      <c r="A242" s="13" t="s">
        <v>1</v>
      </c>
      <c r="B242" s="14" t="s">
        <v>1</v>
      </c>
      <c r="C242" s="14" t="s">
        <v>94</v>
      </c>
      <c r="D242" s="15" t="s">
        <v>602</v>
      </c>
      <c r="E242" s="10">
        <f t="shared" si="531"/>
        <v>17434863</v>
      </c>
      <c r="F242" s="11">
        <f t="shared" ref="F242" si="565">SUM(G242+BC242)</f>
        <v>17434863</v>
      </c>
      <c r="G242" s="11">
        <f t="shared" si="533"/>
        <v>17434863</v>
      </c>
      <c r="H242" s="11">
        <v>0</v>
      </c>
      <c r="I242" s="11">
        <v>0</v>
      </c>
      <c r="J242" s="11">
        <f t="shared" si="534"/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f>SUM(R242:S242)</f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f t="shared" ref="V242" si="566">SUM(W242:AD242)</f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f t="shared" ref="AF242" si="567">SUM(AG242:BB242)</f>
        <v>17434863</v>
      </c>
      <c r="AG242" s="11">
        <v>0</v>
      </c>
      <c r="AH242" s="11">
        <v>0</v>
      </c>
      <c r="AI242" s="11">
        <v>0</v>
      </c>
      <c r="AJ242" s="11">
        <v>0</v>
      </c>
      <c r="AK242" s="16"/>
      <c r="AL242" s="16"/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  <c r="AU242" s="11">
        <v>0</v>
      </c>
      <c r="AV242" s="11"/>
      <c r="AW242" s="11"/>
      <c r="AX242" s="11">
        <v>0</v>
      </c>
      <c r="AY242" s="11">
        <v>0</v>
      </c>
      <c r="AZ242" s="11">
        <v>0</v>
      </c>
      <c r="BA242" s="11">
        <v>0</v>
      </c>
      <c r="BB242" s="16">
        <f>0+17434863</f>
        <v>17434863</v>
      </c>
      <c r="BC242" s="11">
        <f t="shared" ref="BC242" si="568">SUM(BD242+BH242+BL242+BN242+BQ242)</f>
        <v>0</v>
      </c>
      <c r="BD242" s="11">
        <f t="shared" ref="BD242" si="569">SUM(BE242:BG242)</f>
        <v>0</v>
      </c>
      <c r="BE242" s="11">
        <v>0</v>
      </c>
      <c r="BF242" s="11">
        <v>0</v>
      </c>
      <c r="BG242" s="11">
        <v>0</v>
      </c>
      <c r="BH242" s="11">
        <f>SUM(BJ242:BK242)</f>
        <v>0</v>
      </c>
      <c r="BI242" s="11">
        <v>0</v>
      </c>
      <c r="BJ242" s="11">
        <v>0</v>
      </c>
      <c r="BK242" s="11">
        <v>0</v>
      </c>
      <c r="BL242" s="11">
        <v>0</v>
      </c>
      <c r="BM242" s="11">
        <v>0</v>
      </c>
      <c r="BN242" s="11">
        <f>SUM(BO242)</f>
        <v>0</v>
      </c>
      <c r="BO242" s="11">
        <v>0</v>
      </c>
      <c r="BP242" s="11">
        <v>0</v>
      </c>
      <c r="BQ242" s="11">
        <f>SUM(BR242:CB242)</f>
        <v>0</v>
      </c>
      <c r="BR242" s="11">
        <v>0</v>
      </c>
      <c r="BS242" s="11">
        <v>0</v>
      </c>
      <c r="BT242" s="11">
        <v>0</v>
      </c>
      <c r="BU242" s="11">
        <v>0</v>
      </c>
      <c r="BV242" s="11">
        <v>0</v>
      </c>
      <c r="BW242" s="11">
        <v>0</v>
      </c>
      <c r="BX242" s="11">
        <v>0</v>
      </c>
      <c r="BY242" s="11">
        <v>0</v>
      </c>
      <c r="BZ242" s="11">
        <v>0</v>
      </c>
      <c r="CA242" s="11">
        <v>0</v>
      </c>
      <c r="CB242" s="11">
        <v>0</v>
      </c>
      <c r="CC242" s="11">
        <f t="shared" si="539"/>
        <v>0</v>
      </c>
      <c r="CD242" s="11">
        <f t="shared" ref="CD242" si="570">SUM(CE242+CH242+CM242)</f>
        <v>0</v>
      </c>
      <c r="CE242" s="11">
        <f>SUM(CF242:CG242)</f>
        <v>0</v>
      </c>
      <c r="CF242" s="11">
        <v>0</v>
      </c>
      <c r="CG242" s="11">
        <v>0</v>
      </c>
      <c r="CH242" s="11">
        <f t="shared" ref="CH242" si="571">SUM(CI242:CL242)</f>
        <v>0</v>
      </c>
      <c r="CI242" s="11">
        <v>0</v>
      </c>
      <c r="CJ242" s="11">
        <v>0</v>
      </c>
      <c r="CK242" s="11">
        <v>0</v>
      </c>
      <c r="CL242" s="11">
        <v>0</v>
      </c>
      <c r="CM242" s="11">
        <f t="shared" si="542"/>
        <v>0</v>
      </c>
      <c r="CN242" s="11">
        <v>0</v>
      </c>
      <c r="CO242" s="11">
        <v>0</v>
      </c>
      <c r="CP242" s="11"/>
      <c r="CQ242" s="11">
        <v>0</v>
      </c>
      <c r="CR242" s="11">
        <v>0</v>
      </c>
      <c r="CS242" s="11">
        <v>0</v>
      </c>
      <c r="CT242" s="11">
        <v>0</v>
      </c>
      <c r="CU242" s="11">
        <f>SUM(CV242)</f>
        <v>0</v>
      </c>
      <c r="CV242" s="11">
        <f>SUM(CW242:CX242)</f>
        <v>0</v>
      </c>
      <c r="CW242" s="11">
        <v>0</v>
      </c>
      <c r="CX242" s="12">
        <v>0</v>
      </c>
    </row>
    <row r="243" spans="1:102" ht="31.5" x14ac:dyDescent="0.25">
      <c r="A243" s="13" t="s">
        <v>1</v>
      </c>
      <c r="B243" s="14" t="s">
        <v>1</v>
      </c>
      <c r="C243" s="34" t="s">
        <v>94</v>
      </c>
      <c r="D243" s="35" t="s">
        <v>472</v>
      </c>
      <c r="E243" s="10">
        <f t="shared" si="531"/>
        <v>1000000</v>
      </c>
      <c r="F243" s="11">
        <f t="shared" si="532"/>
        <v>1000000</v>
      </c>
      <c r="G243" s="11">
        <f t="shared" si="533"/>
        <v>1000000</v>
      </c>
      <c r="H243" s="11">
        <v>0</v>
      </c>
      <c r="I243" s="11">
        <v>0</v>
      </c>
      <c r="J243" s="11">
        <f t="shared" si="534"/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f t="shared" si="519"/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f t="shared" si="535"/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f t="shared" si="536"/>
        <v>1000000</v>
      </c>
      <c r="AG243" s="11">
        <v>0</v>
      </c>
      <c r="AH243" s="11">
        <v>0</v>
      </c>
      <c r="AI243" s="11">
        <v>0</v>
      </c>
      <c r="AJ243" s="11">
        <v>0</v>
      </c>
      <c r="AK243" s="16"/>
      <c r="AL243" s="16"/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  <c r="AU243" s="11">
        <v>0</v>
      </c>
      <c r="AV243" s="11"/>
      <c r="AW243" s="11"/>
      <c r="AX243" s="11">
        <v>0</v>
      </c>
      <c r="AY243" s="11">
        <v>0</v>
      </c>
      <c r="AZ243" s="11">
        <v>0</v>
      </c>
      <c r="BA243" s="11">
        <v>0</v>
      </c>
      <c r="BB243" s="16">
        <v>1000000</v>
      </c>
      <c r="BC243" s="11">
        <f t="shared" si="537"/>
        <v>0</v>
      </c>
      <c r="BD243" s="11">
        <f t="shared" si="538"/>
        <v>0</v>
      </c>
      <c r="BE243" s="11">
        <v>0</v>
      </c>
      <c r="BF243" s="11">
        <v>0</v>
      </c>
      <c r="BG243" s="11">
        <v>0</v>
      </c>
      <c r="BH243" s="11">
        <f t="shared" si="521"/>
        <v>0</v>
      </c>
      <c r="BI243" s="11">
        <v>0</v>
      </c>
      <c r="BJ243" s="11">
        <v>0</v>
      </c>
      <c r="BK243" s="11">
        <v>0</v>
      </c>
      <c r="BL243" s="11">
        <v>0</v>
      </c>
      <c r="BM243" s="11">
        <v>0</v>
      </c>
      <c r="BN243" s="11">
        <f t="shared" si="522"/>
        <v>0</v>
      </c>
      <c r="BO243" s="11">
        <v>0</v>
      </c>
      <c r="BP243" s="11">
        <v>0</v>
      </c>
      <c r="BQ243" s="11">
        <f t="shared" si="523"/>
        <v>0</v>
      </c>
      <c r="BR243" s="11">
        <v>0</v>
      </c>
      <c r="BS243" s="11">
        <v>0</v>
      </c>
      <c r="BT243" s="11">
        <v>0</v>
      </c>
      <c r="BU243" s="11">
        <v>0</v>
      </c>
      <c r="BV243" s="11">
        <v>0</v>
      </c>
      <c r="BW243" s="11">
        <v>0</v>
      </c>
      <c r="BX243" s="11">
        <v>0</v>
      </c>
      <c r="BY243" s="11">
        <v>0</v>
      </c>
      <c r="BZ243" s="11">
        <v>0</v>
      </c>
      <c r="CA243" s="11">
        <v>0</v>
      </c>
      <c r="CB243" s="11">
        <v>0</v>
      </c>
      <c r="CC243" s="11">
        <f t="shared" si="539"/>
        <v>0</v>
      </c>
      <c r="CD243" s="11">
        <f t="shared" si="540"/>
        <v>0</v>
      </c>
      <c r="CE243" s="11">
        <f t="shared" si="524"/>
        <v>0</v>
      </c>
      <c r="CF243" s="11"/>
      <c r="CG243" s="11">
        <v>0</v>
      </c>
      <c r="CH243" s="11">
        <f t="shared" si="541"/>
        <v>0</v>
      </c>
      <c r="CI243" s="11">
        <v>0</v>
      </c>
      <c r="CJ243" s="11">
        <v>0</v>
      </c>
      <c r="CK243" s="11">
        <v>0</v>
      </c>
      <c r="CL243" s="11">
        <v>0</v>
      </c>
      <c r="CM243" s="11">
        <f t="shared" si="542"/>
        <v>0</v>
      </c>
      <c r="CN243" s="11">
        <v>0</v>
      </c>
      <c r="CO243" s="11">
        <v>0</v>
      </c>
      <c r="CP243" s="11"/>
      <c r="CQ243" s="11">
        <v>0</v>
      </c>
      <c r="CR243" s="11">
        <v>0</v>
      </c>
      <c r="CS243" s="11">
        <v>0</v>
      </c>
      <c r="CT243" s="11">
        <v>0</v>
      </c>
      <c r="CU243" s="11">
        <f t="shared" si="525"/>
        <v>0</v>
      </c>
      <c r="CV243" s="11">
        <f t="shared" si="526"/>
        <v>0</v>
      </c>
      <c r="CW243" s="11">
        <v>0</v>
      </c>
      <c r="CX243" s="12">
        <v>0</v>
      </c>
    </row>
    <row r="244" spans="1:102" ht="31.5" x14ac:dyDescent="0.25">
      <c r="A244" s="13" t="s">
        <v>1</v>
      </c>
      <c r="B244" s="14" t="s">
        <v>1</v>
      </c>
      <c r="C244" s="14" t="s">
        <v>94</v>
      </c>
      <c r="D244" s="15" t="s">
        <v>373</v>
      </c>
      <c r="E244" s="10">
        <f t="shared" si="531"/>
        <v>209607</v>
      </c>
      <c r="F244" s="11">
        <f>SUM(G244+BC244)</f>
        <v>209607</v>
      </c>
      <c r="G244" s="11">
        <f t="shared" si="533"/>
        <v>209607</v>
      </c>
      <c r="H244" s="11">
        <v>0</v>
      </c>
      <c r="I244" s="11">
        <v>0</v>
      </c>
      <c r="J244" s="11">
        <f t="shared" si="534"/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f>SUM(R244:S244)</f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f>SUM(W244:AD244)</f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f>SUM(AG244:BB244)</f>
        <v>209607</v>
      </c>
      <c r="AG244" s="11">
        <v>0</v>
      </c>
      <c r="AH244" s="11">
        <v>0</v>
      </c>
      <c r="AI244" s="11">
        <v>0</v>
      </c>
      <c r="AJ244" s="11">
        <v>0</v>
      </c>
      <c r="AK244" s="16"/>
      <c r="AL244" s="16"/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  <c r="AU244" s="11">
        <v>0</v>
      </c>
      <c r="AV244" s="11"/>
      <c r="AW244" s="11"/>
      <c r="AX244" s="11">
        <v>0</v>
      </c>
      <c r="AY244" s="11">
        <v>0</v>
      </c>
      <c r="AZ244" s="11">
        <v>0</v>
      </c>
      <c r="BA244" s="11">
        <v>0</v>
      </c>
      <c r="BB244" s="16">
        <v>209607</v>
      </c>
      <c r="BC244" s="11">
        <f>SUM(BD244+BH244+BL244+BN244+BQ244)</f>
        <v>0</v>
      </c>
      <c r="BD244" s="11">
        <f>SUM(BE244:BG244)</f>
        <v>0</v>
      </c>
      <c r="BE244" s="11">
        <v>0</v>
      </c>
      <c r="BF244" s="11">
        <v>0</v>
      </c>
      <c r="BG244" s="11">
        <v>0</v>
      </c>
      <c r="BH244" s="11">
        <f>SUM(BJ244:BK244)</f>
        <v>0</v>
      </c>
      <c r="BI244" s="11">
        <v>0</v>
      </c>
      <c r="BJ244" s="11">
        <v>0</v>
      </c>
      <c r="BK244" s="11">
        <v>0</v>
      </c>
      <c r="BL244" s="11">
        <v>0</v>
      </c>
      <c r="BM244" s="11">
        <v>0</v>
      </c>
      <c r="BN244" s="11">
        <f>SUM(BO244)</f>
        <v>0</v>
      </c>
      <c r="BO244" s="11">
        <v>0</v>
      </c>
      <c r="BP244" s="11">
        <v>0</v>
      </c>
      <c r="BQ244" s="11">
        <f>SUM(BR244:CB244)</f>
        <v>0</v>
      </c>
      <c r="BR244" s="11">
        <v>0</v>
      </c>
      <c r="BS244" s="11">
        <v>0</v>
      </c>
      <c r="BT244" s="11">
        <v>0</v>
      </c>
      <c r="BU244" s="11">
        <v>0</v>
      </c>
      <c r="BV244" s="11">
        <v>0</v>
      </c>
      <c r="BW244" s="11">
        <v>0</v>
      </c>
      <c r="BX244" s="11">
        <v>0</v>
      </c>
      <c r="BY244" s="11">
        <v>0</v>
      </c>
      <c r="BZ244" s="11">
        <v>0</v>
      </c>
      <c r="CA244" s="11">
        <v>0</v>
      </c>
      <c r="CB244" s="11">
        <v>0</v>
      </c>
      <c r="CC244" s="11">
        <f t="shared" si="539"/>
        <v>0</v>
      </c>
      <c r="CD244" s="11">
        <f>SUM(CE244+CH244+CM244)</f>
        <v>0</v>
      </c>
      <c r="CE244" s="11">
        <f>SUM(CF244:CG244)</f>
        <v>0</v>
      </c>
      <c r="CF244" s="11">
        <v>0</v>
      </c>
      <c r="CG244" s="11">
        <v>0</v>
      </c>
      <c r="CH244" s="11">
        <f>SUM(CI244:CL244)</f>
        <v>0</v>
      </c>
      <c r="CI244" s="11">
        <v>0</v>
      </c>
      <c r="CJ244" s="11">
        <v>0</v>
      </c>
      <c r="CK244" s="11">
        <v>0</v>
      </c>
      <c r="CL244" s="11">
        <v>0</v>
      </c>
      <c r="CM244" s="11">
        <f t="shared" si="542"/>
        <v>0</v>
      </c>
      <c r="CN244" s="11">
        <v>0</v>
      </c>
      <c r="CO244" s="11">
        <v>0</v>
      </c>
      <c r="CP244" s="11"/>
      <c r="CQ244" s="11">
        <v>0</v>
      </c>
      <c r="CR244" s="11">
        <v>0</v>
      </c>
      <c r="CS244" s="11">
        <v>0</v>
      </c>
      <c r="CT244" s="11">
        <v>0</v>
      </c>
      <c r="CU244" s="11">
        <f>SUM(CV244)</f>
        <v>0</v>
      </c>
      <c r="CV244" s="11">
        <f>SUM(CW244:CX244)</f>
        <v>0</v>
      </c>
      <c r="CW244" s="11">
        <v>0</v>
      </c>
      <c r="CX244" s="12">
        <v>0</v>
      </c>
    </row>
    <row r="245" spans="1:102" ht="31.5" x14ac:dyDescent="0.25">
      <c r="A245" s="13" t="s">
        <v>1</v>
      </c>
      <c r="B245" s="14" t="s">
        <v>1</v>
      </c>
      <c r="C245" s="26" t="s">
        <v>345</v>
      </c>
      <c r="D245" s="25" t="s">
        <v>473</v>
      </c>
      <c r="E245" s="10">
        <f t="shared" si="531"/>
        <v>33259</v>
      </c>
      <c r="F245" s="11">
        <f t="shared" si="532"/>
        <v>33259</v>
      </c>
      <c r="G245" s="11">
        <f t="shared" si="533"/>
        <v>33259</v>
      </c>
      <c r="H245" s="11">
        <v>0</v>
      </c>
      <c r="I245" s="11">
        <v>0</v>
      </c>
      <c r="J245" s="11">
        <f t="shared" si="534"/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f t="shared" si="519"/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f t="shared" si="535"/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f t="shared" si="536"/>
        <v>33259</v>
      </c>
      <c r="AG245" s="11">
        <v>0</v>
      </c>
      <c r="AH245" s="11">
        <v>0</v>
      </c>
      <c r="AI245" s="11">
        <v>0</v>
      </c>
      <c r="AJ245" s="11">
        <v>0</v>
      </c>
      <c r="AK245" s="16">
        <v>33259</v>
      </c>
      <c r="AL245" s="16"/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  <c r="AU245" s="11">
        <v>0</v>
      </c>
      <c r="AV245" s="11"/>
      <c r="AW245" s="11"/>
      <c r="AX245" s="11">
        <v>0</v>
      </c>
      <c r="AY245" s="11">
        <v>0</v>
      </c>
      <c r="AZ245" s="11">
        <v>0</v>
      </c>
      <c r="BA245" s="11">
        <v>0</v>
      </c>
      <c r="BB245" s="16"/>
      <c r="BC245" s="11">
        <f t="shared" si="537"/>
        <v>0</v>
      </c>
      <c r="BD245" s="11">
        <f t="shared" si="538"/>
        <v>0</v>
      </c>
      <c r="BE245" s="11">
        <v>0</v>
      </c>
      <c r="BF245" s="11">
        <v>0</v>
      </c>
      <c r="BG245" s="11">
        <v>0</v>
      </c>
      <c r="BH245" s="11">
        <f t="shared" si="521"/>
        <v>0</v>
      </c>
      <c r="BI245" s="11">
        <v>0</v>
      </c>
      <c r="BJ245" s="11">
        <v>0</v>
      </c>
      <c r="BK245" s="11">
        <v>0</v>
      </c>
      <c r="BL245" s="11">
        <v>0</v>
      </c>
      <c r="BM245" s="11">
        <v>0</v>
      </c>
      <c r="BN245" s="11">
        <f t="shared" si="522"/>
        <v>0</v>
      </c>
      <c r="BO245" s="11">
        <v>0</v>
      </c>
      <c r="BP245" s="11">
        <v>0</v>
      </c>
      <c r="BQ245" s="11">
        <f t="shared" si="523"/>
        <v>0</v>
      </c>
      <c r="BR245" s="11">
        <v>0</v>
      </c>
      <c r="BS245" s="11">
        <v>0</v>
      </c>
      <c r="BT245" s="11">
        <v>0</v>
      </c>
      <c r="BU245" s="11">
        <v>0</v>
      </c>
      <c r="BV245" s="11">
        <v>0</v>
      </c>
      <c r="BW245" s="11">
        <v>0</v>
      </c>
      <c r="BX245" s="11">
        <v>0</v>
      </c>
      <c r="BY245" s="11">
        <v>0</v>
      </c>
      <c r="BZ245" s="11">
        <v>0</v>
      </c>
      <c r="CA245" s="11">
        <v>0</v>
      </c>
      <c r="CB245" s="11">
        <v>0</v>
      </c>
      <c r="CC245" s="11">
        <f t="shared" si="539"/>
        <v>0</v>
      </c>
      <c r="CD245" s="11">
        <f t="shared" si="540"/>
        <v>0</v>
      </c>
      <c r="CE245" s="11">
        <f t="shared" ref="CE245:CE248" si="572">SUM(CF245:CG245)</f>
        <v>0</v>
      </c>
      <c r="CF245" s="11">
        <v>0</v>
      </c>
      <c r="CG245" s="11">
        <v>0</v>
      </c>
      <c r="CH245" s="11">
        <f t="shared" si="541"/>
        <v>0</v>
      </c>
      <c r="CI245" s="11">
        <v>0</v>
      </c>
      <c r="CJ245" s="11">
        <v>0</v>
      </c>
      <c r="CK245" s="11">
        <v>0</v>
      </c>
      <c r="CL245" s="11">
        <v>0</v>
      </c>
      <c r="CM245" s="11">
        <f t="shared" si="542"/>
        <v>0</v>
      </c>
      <c r="CN245" s="11">
        <v>0</v>
      </c>
      <c r="CO245" s="11">
        <v>0</v>
      </c>
      <c r="CP245" s="11"/>
      <c r="CQ245" s="11">
        <v>0</v>
      </c>
      <c r="CR245" s="11">
        <v>0</v>
      </c>
      <c r="CS245" s="11">
        <v>0</v>
      </c>
      <c r="CT245" s="11">
        <v>0</v>
      </c>
      <c r="CU245" s="11">
        <f t="shared" si="525"/>
        <v>0</v>
      </c>
      <c r="CV245" s="11">
        <f t="shared" si="526"/>
        <v>0</v>
      </c>
      <c r="CW245" s="11">
        <v>0</v>
      </c>
      <c r="CX245" s="12">
        <v>0</v>
      </c>
    </row>
    <row r="246" spans="1:102" ht="31.5" x14ac:dyDescent="0.25">
      <c r="A246" s="13" t="s">
        <v>1</v>
      </c>
      <c r="B246" s="14" t="s">
        <v>1</v>
      </c>
      <c r="C246" s="29" t="s">
        <v>109</v>
      </c>
      <c r="D246" s="30" t="s">
        <v>474</v>
      </c>
      <c r="E246" s="10">
        <f t="shared" si="531"/>
        <v>3999587</v>
      </c>
      <c r="F246" s="11">
        <f t="shared" si="532"/>
        <v>3999587</v>
      </c>
      <c r="G246" s="11">
        <f t="shared" si="533"/>
        <v>0</v>
      </c>
      <c r="H246" s="11">
        <v>0</v>
      </c>
      <c r="I246" s="11">
        <v>0</v>
      </c>
      <c r="J246" s="11">
        <f t="shared" si="534"/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f>32507-32507</f>
        <v>0</v>
      </c>
      <c r="Q246" s="11">
        <f t="shared" si="519"/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f t="shared" si="535"/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f t="shared" si="536"/>
        <v>0</v>
      </c>
      <c r="AG246" s="11">
        <v>0</v>
      </c>
      <c r="AH246" s="11">
        <v>0</v>
      </c>
      <c r="AI246" s="11">
        <v>0</v>
      </c>
      <c r="AJ246" s="11">
        <v>0</v>
      </c>
      <c r="AK246" s="16"/>
      <c r="AL246" s="16"/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  <c r="AU246" s="11">
        <v>0</v>
      </c>
      <c r="AV246" s="11"/>
      <c r="AW246" s="11"/>
      <c r="AX246" s="11">
        <v>0</v>
      </c>
      <c r="AY246" s="11">
        <v>0</v>
      </c>
      <c r="AZ246" s="11">
        <v>0</v>
      </c>
      <c r="BA246" s="11">
        <v>0</v>
      </c>
      <c r="BB246" s="16"/>
      <c r="BC246" s="11">
        <f t="shared" si="537"/>
        <v>3999587</v>
      </c>
      <c r="BD246" s="11">
        <f t="shared" si="538"/>
        <v>0</v>
      </c>
      <c r="BE246" s="11">
        <v>0</v>
      </c>
      <c r="BF246" s="11">
        <v>0</v>
      </c>
      <c r="BG246" s="11">
        <v>0</v>
      </c>
      <c r="BH246" s="11">
        <f t="shared" si="521"/>
        <v>0</v>
      </c>
      <c r="BI246" s="11">
        <v>0</v>
      </c>
      <c r="BJ246" s="11">
        <v>0</v>
      </c>
      <c r="BK246" s="11">
        <v>0</v>
      </c>
      <c r="BL246" s="11">
        <f>BM246</f>
        <v>3999587</v>
      </c>
      <c r="BM246" s="16">
        <v>3999587</v>
      </c>
      <c r="BN246" s="11">
        <f t="shared" si="522"/>
        <v>0</v>
      </c>
      <c r="BO246" s="11">
        <v>0</v>
      </c>
      <c r="BP246" s="11">
        <v>0</v>
      </c>
      <c r="BQ246" s="11">
        <f t="shared" si="523"/>
        <v>0</v>
      </c>
      <c r="BR246" s="11">
        <v>0</v>
      </c>
      <c r="BS246" s="11">
        <v>0</v>
      </c>
      <c r="BT246" s="11">
        <v>0</v>
      </c>
      <c r="BU246" s="11">
        <v>0</v>
      </c>
      <c r="BV246" s="11">
        <v>0</v>
      </c>
      <c r="BW246" s="11">
        <v>0</v>
      </c>
      <c r="BX246" s="11">
        <v>0</v>
      </c>
      <c r="BY246" s="11">
        <v>0</v>
      </c>
      <c r="BZ246" s="11">
        <v>0</v>
      </c>
      <c r="CA246" s="11">
        <v>0</v>
      </c>
      <c r="CB246" s="11">
        <v>0</v>
      </c>
      <c r="CC246" s="11">
        <f t="shared" si="539"/>
        <v>0</v>
      </c>
      <c r="CD246" s="11">
        <f t="shared" si="540"/>
        <v>0</v>
      </c>
      <c r="CE246" s="11">
        <f t="shared" si="572"/>
        <v>0</v>
      </c>
      <c r="CF246" s="11">
        <v>0</v>
      </c>
      <c r="CG246" s="11">
        <v>0</v>
      </c>
      <c r="CH246" s="11">
        <f t="shared" si="541"/>
        <v>0</v>
      </c>
      <c r="CI246" s="11">
        <v>0</v>
      </c>
      <c r="CJ246" s="11">
        <v>0</v>
      </c>
      <c r="CK246" s="11">
        <v>0</v>
      </c>
      <c r="CL246" s="11">
        <v>0</v>
      </c>
      <c r="CM246" s="11">
        <f t="shared" si="542"/>
        <v>0</v>
      </c>
      <c r="CN246" s="11">
        <v>0</v>
      </c>
      <c r="CO246" s="11">
        <v>0</v>
      </c>
      <c r="CP246" s="11"/>
      <c r="CQ246" s="11">
        <v>0</v>
      </c>
      <c r="CR246" s="11">
        <v>0</v>
      </c>
      <c r="CS246" s="11">
        <v>0</v>
      </c>
      <c r="CT246" s="11">
        <v>0</v>
      </c>
      <c r="CU246" s="11">
        <f t="shared" si="525"/>
        <v>0</v>
      </c>
      <c r="CV246" s="11">
        <f t="shared" si="526"/>
        <v>0</v>
      </c>
      <c r="CW246" s="11">
        <v>0</v>
      </c>
      <c r="CX246" s="12">
        <v>0</v>
      </c>
    </row>
    <row r="247" spans="1:102" ht="47.25" x14ac:dyDescent="0.25">
      <c r="A247" s="13" t="s">
        <v>1</v>
      </c>
      <c r="B247" s="14" t="s">
        <v>1</v>
      </c>
      <c r="C247" s="36" t="s">
        <v>109</v>
      </c>
      <c r="D247" s="37" t="s">
        <v>374</v>
      </c>
      <c r="E247" s="10">
        <f t="shared" si="531"/>
        <v>400000</v>
      </c>
      <c r="F247" s="11">
        <f t="shared" si="532"/>
        <v>0</v>
      </c>
      <c r="G247" s="11">
        <f t="shared" si="533"/>
        <v>0</v>
      </c>
      <c r="H247" s="11">
        <v>0</v>
      </c>
      <c r="I247" s="11">
        <v>0</v>
      </c>
      <c r="J247" s="11">
        <f t="shared" si="534"/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f t="shared" si="519"/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f t="shared" si="535"/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f t="shared" si="536"/>
        <v>0</v>
      </c>
      <c r="AG247" s="11">
        <v>0</v>
      </c>
      <c r="AH247" s="11">
        <v>0</v>
      </c>
      <c r="AI247" s="11">
        <v>0</v>
      </c>
      <c r="AJ247" s="11">
        <v>0</v>
      </c>
      <c r="AK247" s="16"/>
      <c r="AL247" s="16"/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11">
        <v>0</v>
      </c>
      <c r="AV247" s="11"/>
      <c r="AW247" s="11"/>
      <c r="AX247" s="11">
        <v>0</v>
      </c>
      <c r="AY247" s="11">
        <v>0</v>
      </c>
      <c r="AZ247" s="11">
        <v>0</v>
      </c>
      <c r="BA247" s="11">
        <v>0</v>
      </c>
      <c r="BB247" s="11"/>
      <c r="BC247" s="11">
        <f t="shared" si="537"/>
        <v>0</v>
      </c>
      <c r="BD247" s="11">
        <f t="shared" si="538"/>
        <v>0</v>
      </c>
      <c r="BE247" s="11">
        <v>0</v>
      </c>
      <c r="BF247" s="11">
        <v>0</v>
      </c>
      <c r="BG247" s="11">
        <v>0</v>
      </c>
      <c r="BH247" s="11">
        <f t="shared" si="521"/>
        <v>0</v>
      </c>
      <c r="BI247" s="11">
        <v>0</v>
      </c>
      <c r="BJ247" s="11">
        <v>0</v>
      </c>
      <c r="BK247" s="11">
        <v>0</v>
      </c>
      <c r="BL247" s="11">
        <v>0</v>
      </c>
      <c r="BM247" s="11">
        <v>0</v>
      </c>
      <c r="BN247" s="11">
        <f t="shared" si="522"/>
        <v>0</v>
      </c>
      <c r="BO247" s="11">
        <v>0</v>
      </c>
      <c r="BP247" s="11">
        <v>0</v>
      </c>
      <c r="BQ247" s="11">
        <f t="shared" si="523"/>
        <v>0</v>
      </c>
      <c r="BR247" s="11">
        <v>0</v>
      </c>
      <c r="BS247" s="11">
        <v>0</v>
      </c>
      <c r="BT247" s="11">
        <v>0</v>
      </c>
      <c r="BU247" s="11">
        <v>0</v>
      </c>
      <c r="BV247" s="11">
        <v>0</v>
      </c>
      <c r="BW247" s="11">
        <v>0</v>
      </c>
      <c r="BX247" s="11">
        <v>0</v>
      </c>
      <c r="BY247" s="11">
        <v>0</v>
      </c>
      <c r="BZ247" s="11">
        <v>0</v>
      </c>
      <c r="CA247" s="11">
        <v>0</v>
      </c>
      <c r="CB247" s="11">
        <v>0</v>
      </c>
      <c r="CC247" s="11">
        <f t="shared" si="539"/>
        <v>400000</v>
      </c>
      <c r="CD247" s="11">
        <f t="shared" si="540"/>
        <v>400000</v>
      </c>
      <c r="CE247" s="11">
        <f t="shared" si="572"/>
        <v>400000</v>
      </c>
      <c r="CF247" s="11">
        <v>0</v>
      </c>
      <c r="CG247" s="11">
        <v>400000</v>
      </c>
      <c r="CH247" s="11">
        <f t="shared" si="541"/>
        <v>0</v>
      </c>
      <c r="CI247" s="11">
        <v>0</v>
      </c>
      <c r="CJ247" s="11">
        <v>0</v>
      </c>
      <c r="CK247" s="11">
        <v>0</v>
      </c>
      <c r="CL247" s="11">
        <v>0</v>
      </c>
      <c r="CM247" s="11">
        <f t="shared" si="542"/>
        <v>0</v>
      </c>
      <c r="CN247" s="11">
        <v>0</v>
      </c>
      <c r="CO247" s="11">
        <v>0</v>
      </c>
      <c r="CP247" s="11"/>
      <c r="CQ247" s="11">
        <v>0</v>
      </c>
      <c r="CR247" s="11">
        <v>0</v>
      </c>
      <c r="CS247" s="11">
        <v>0</v>
      </c>
      <c r="CT247" s="11">
        <v>0</v>
      </c>
      <c r="CU247" s="11">
        <f t="shared" si="525"/>
        <v>0</v>
      </c>
      <c r="CV247" s="11">
        <f t="shared" si="526"/>
        <v>0</v>
      </c>
      <c r="CW247" s="11">
        <v>0</v>
      </c>
      <c r="CX247" s="12">
        <v>0</v>
      </c>
    </row>
    <row r="248" spans="1:102" ht="47.25" x14ac:dyDescent="0.25">
      <c r="A248" s="28"/>
      <c r="B248" s="29"/>
      <c r="C248" s="36" t="s">
        <v>109</v>
      </c>
      <c r="D248" s="37" t="s">
        <v>599</v>
      </c>
      <c r="E248" s="31">
        <f t="shared" si="531"/>
        <v>0</v>
      </c>
      <c r="F248" s="27">
        <f t="shared" si="532"/>
        <v>0</v>
      </c>
      <c r="G248" s="11">
        <f t="shared" si="533"/>
        <v>0</v>
      </c>
      <c r="H248" s="32">
        <f>160643772+12769-160656541</f>
        <v>0</v>
      </c>
      <c r="I248" s="27"/>
      <c r="J248" s="27">
        <f t="shared" si="534"/>
        <v>0</v>
      </c>
      <c r="K248" s="27">
        <v>0</v>
      </c>
      <c r="L248" s="27"/>
      <c r="M248" s="27">
        <v>0</v>
      </c>
      <c r="N248" s="27">
        <v>0</v>
      </c>
      <c r="O248" s="27"/>
      <c r="P248" s="27"/>
      <c r="Q248" s="27">
        <f t="shared" si="519"/>
        <v>0</v>
      </c>
      <c r="R248" s="27"/>
      <c r="S248" s="27"/>
      <c r="T248" s="27">
        <v>0</v>
      </c>
      <c r="U248" s="27"/>
      <c r="V248" s="11">
        <f t="shared" si="535"/>
        <v>0</v>
      </c>
      <c r="W248" s="27"/>
      <c r="X248" s="27"/>
      <c r="Y248" s="27"/>
      <c r="Z248" s="27"/>
      <c r="AA248" s="27"/>
      <c r="AB248" s="27">
        <v>0</v>
      </c>
      <c r="AC248" s="27">
        <v>0</v>
      </c>
      <c r="AD248" s="27"/>
      <c r="AE248" s="27"/>
      <c r="AF248" s="27">
        <f t="shared" si="536"/>
        <v>0</v>
      </c>
      <c r="AG248" s="27">
        <v>0</v>
      </c>
      <c r="AH248" s="27"/>
      <c r="AI248" s="27"/>
      <c r="AJ248" s="27"/>
      <c r="AK248" s="32"/>
      <c r="AL248" s="32"/>
      <c r="AM248" s="27"/>
      <c r="AN248" s="27"/>
      <c r="AO248" s="27"/>
      <c r="AP248" s="27"/>
      <c r="AQ248" s="27"/>
      <c r="AR248" s="27">
        <v>0</v>
      </c>
      <c r="AS248" s="27">
        <v>0</v>
      </c>
      <c r="AT248" s="27">
        <v>0</v>
      </c>
      <c r="AU248" s="27"/>
      <c r="AV248" s="27"/>
      <c r="AW248" s="27"/>
      <c r="AX248" s="27">
        <v>0</v>
      </c>
      <c r="AY248" s="27">
        <v>0</v>
      </c>
      <c r="AZ248" s="27">
        <v>0</v>
      </c>
      <c r="BA248" s="27"/>
      <c r="BB248" s="27"/>
      <c r="BC248" s="27">
        <f t="shared" si="537"/>
        <v>0</v>
      </c>
      <c r="BD248" s="27">
        <f t="shared" si="538"/>
        <v>0</v>
      </c>
      <c r="BE248" s="27">
        <v>0</v>
      </c>
      <c r="BF248" s="27">
        <v>0</v>
      </c>
      <c r="BG248" s="27">
        <v>0</v>
      </c>
      <c r="BH248" s="27">
        <f t="shared" si="521"/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f t="shared" si="522"/>
        <v>0</v>
      </c>
      <c r="BO248" s="27">
        <v>0</v>
      </c>
      <c r="BP248" s="27">
        <v>0</v>
      </c>
      <c r="BQ248" s="27">
        <f t="shared" si="523"/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/>
      <c r="CB248" s="27">
        <v>0</v>
      </c>
      <c r="CC248" s="27">
        <f t="shared" si="539"/>
        <v>0</v>
      </c>
      <c r="CD248" s="27">
        <f t="shared" si="540"/>
        <v>0</v>
      </c>
      <c r="CE248" s="27">
        <f t="shared" si="572"/>
        <v>0</v>
      </c>
      <c r="CF248" s="27">
        <v>0</v>
      </c>
      <c r="CG248" s="27"/>
      <c r="CH248" s="27">
        <f t="shared" si="541"/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f t="shared" si="542"/>
        <v>0</v>
      </c>
      <c r="CN248" s="27">
        <v>0</v>
      </c>
      <c r="CO248" s="27"/>
      <c r="CP248" s="27"/>
      <c r="CQ248" s="27">
        <v>0</v>
      </c>
      <c r="CR248" s="27">
        <f>SUM(CS248)</f>
        <v>0</v>
      </c>
      <c r="CS248" s="27"/>
      <c r="CT248" s="27">
        <v>0</v>
      </c>
      <c r="CU248" s="27">
        <f t="shared" ref="CU248" si="573">SUM(CV248)</f>
        <v>0</v>
      </c>
      <c r="CV248" s="27">
        <f t="shared" si="526"/>
        <v>0</v>
      </c>
      <c r="CW248" s="27">
        <v>0</v>
      </c>
      <c r="CX248" s="33">
        <v>0</v>
      </c>
    </row>
    <row r="249" spans="1:102" ht="15.75" x14ac:dyDescent="0.25">
      <c r="A249" s="7"/>
      <c r="B249" s="8"/>
      <c r="C249" s="8"/>
      <c r="D249" s="9" t="s">
        <v>375</v>
      </c>
      <c r="E249" s="10">
        <f t="shared" ref="E249:AJ249" si="574">SUM(E250:E275)</f>
        <v>256322607</v>
      </c>
      <c r="F249" s="10">
        <f t="shared" si="574"/>
        <v>236116581</v>
      </c>
      <c r="G249" s="10">
        <f t="shared" si="574"/>
        <v>236111581</v>
      </c>
      <c r="H249" s="10">
        <f t="shared" si="574"/>
        <v>97904991</v>
      </c>
      <c r="I249" s="10">
        <f t="shared" si="574"/>
        <v>19554752</v>
      </c>
      <c r="J249" s="10">
        <f t="shared" si="574"/>
        <v>56817086</v>
      </c>
      <c r="K249" s="10">
        <f t="shared" si="574"/>
        <v>22561905</v>
      </c>
      <c r="L249" s="10">
        <f t="shared" si="574"/>
        <v>2482200</v>
      </c>
      <c r="M249" s="10">
        <f t="shared" si="574"/>
        <v>2651854</v>
      </c>
      <c r="N249" s="10">
        <f t="shared" si="574"/>
        <v>3000</v>
      </c>
      <c r="O249" s="10">
        <f t="shared" si="574"/>
        <v>9200001</v>
      </c>
      <c r="P249" s="10">
        <f t="shared" si="574"/>
        <v>19918126</v>
      </c>
      <c r="Q249" s="10">
        <f t="shared" si="574"/>
        <v>857419</v>
      </c>
      <c r="R249" s="10">
        <f t="shared" si="574"/>
        <v>187015</v>
      </c>
      <c r="S249" s="10">
        <f t="shared" si="574"/>
        <v>670404</v>
      </c>
      <c r="T249" s="10">
        <f t="shared" si="574"/>
        <v>97055</v>
      </c>
      <c r="U249" s="10">
        <f t="shared" si="574"/>
        <v>1992277</v>
      </c>
      <c r="V249" s="10">
        <f t="shared" si="574"/>
        <v>12104513</v>
      </c>
      <c r="W249" s="10">
        <f t="shared" si="574"/>
        <v>2888071</v>
      </c>
      <c r="X249" s="10">
        <f t="shared" si="574"/>
        <v>4420003</v>
      </c>
      <c r="Y249" s="10">
        <f t="shared" si="574"/>
        <v>2292754</v>
      </c>
      <c r="Z249" s="10">
        <f t="shared" si="574"/>
        <v>1142974</v>
      </c>
      <c r="AA249" s="10">
        <f t="shared" si="574"/>
        <v>795640</v>
      </c>
      <c r="AB249" s="10">
        <f t="shared" si="574"/>
        <v>358164</v>
      </c>
      <c r="AC249" s="10">
        <f t="shared" si="574"/>
        <v>0</v>
      </c>
      <c r="AD249" s="10">
        <f t="shared" si="574"/>
        <v>206907</v>
      </c>
      <c r="AE249" s="10">
        <f t="shared" si="574"/>
        <v>0</v>
      </c>
      <c r="AF249" s="10">
        <f t="shared" si="574"/>
        <v>46783488</v>
      </c>
      <c r="AG249" s="10">
        <f t="shared" si="574"/>
        <v>518689</v>
      </c>
      <c r="AH249" s="10">
        <f t="shared" si="574"/>
        <v>0</v>
      </c>
      <c r="AI249" s="10">
        <f t="shared" si="574"/>
        <v>3337428</v>
      </c>
      <c r="AJ249" s="10">
        <f t="shared" si="574"/>
        <v>9412309</v>
      </c>
      <c r="AK249" s="10">
        <f t="shared" ref="AK249:BP249" si="575">SUM(AK250:AK275)</f>
        <v>799014</v>
      </c>
      <c r="AL249" s="10">
        <f t="shared" si="575"/>
        <v>870361</v>
      </c>
      <c r="AM249" s="10">
        <f t="shared" si="575"/>
        <v>16582</v>
      </c>
      <c r="AN249" s="10">
        <f t="shared" si="575"/>
        <v>533047</v>
      </c>
      <c r="AO249" s="10">
        <f t="shared" si="575"/>
        <v>2953727</v>
      </c>
      <c r="AP249" s="10">
        <f t="shared" si="575"/>
        <v>10000</v>
      </c>
      <c r="AQ249" s="10">
        <f t="shared" si="575"/>
        <v>21850</v>
      </c>
      <c r="AR249" s="10">
        <f t="shared" si="575"/>
        <v>103718</v>
      </c>
      <c r="AS249" s="10">
        <f t="shared" si="575"/>
        <v>67742</v>
      </c>
      <c r="AT249" s="10">
        <f t="shared" si="575"/>
        <v>793944</v>
      </c>
      <c r="AU249" s="10">
        <f t="shared" si="575"/>
        <v>536387</v>
      </c>
      <c r="AV249" s="10">
        <f t="shared" si="575"/>
        <v>0</v>
      </c>
      <c r="AW249" s="10">
        <f t="shared" si="575"/>
        <v>5888</v>
      </c>
      <c r="AX249" s="10">
        <f t="shared" si="575"/>
        <v>59506</v>
      </c>
      <c r="AY249" s="10">
        <f t="shared" si="575"/>
        <v>1587686</v>
      </c>
      <c r="AZ249" s="10">
        <f t="shared" si="575"/>
        <v>0</v>
      </c>
      <c r="BA249" s="10">
        <f t="shared" si="575"/>
        <v>441210</v>
      </c>
      <c r="BB249" s="10">
        <f t="shared" si="575"/>
        <v>24714400</v>
      </c>
      <c r="BC249" s="10">
        <f t="shared" si="575"/>
        <v>5000</v>
      </c>
      <c r="BD249" s="10">
        <f t="shared" si="575"/>
        <v>0</v>
      </c>
      <c r="BE249" s="10">
        <f t="shared" si="575"/>
        <v>0</v>
      </c>
      <c r="BF249" s="10">
        <f t="shared" si="575"/>
        <v>0</v>
      </c>
      <c r="BG249" s="10">
        <f t="shared" si="575"/>
        <v>0</v>
      </c>
      <c r="BH249" s="10">
        <f t="shared" si="575"/>
        <v>0</v>
      </c>
      <c r="BI249" s="10">
        <f t="shared" si="575"/>
        <v>0</v>
      </c>
      <c r="BJ249" s="10">
        <f t="shared" si="575"/>
        <v>0</v>
      </c>
      <c r="BK249" s="10">
        <f t="shared" si="575"/>
        <v>0</v>
      </c>
      <c r="BL249" s="10">
        <f t="shared" si="575"/>
        <v>0</v>
      </c>
      <c r="BM249" s="10">
        <f t="shared" si="575"/>
        <v>0</v>
      </c>
      <c r="BN249" s="10">
        <f t="shared" si="575"/>
        <v>0</v>
      </c>
      <c r="BO249" s="10">
        <f t="shared" si="575"/>
        <v>0</v>
      </c>
      <c r="BP249" s="10">
        <f t="shared" si="575"/>
        <v>0</v>
      </c>
      <c r="BQ249" s="10">
        <f t="shared" ref="BQ249:CO249" si="576">SUM(BQ250:BQ275)</f>
        <v>5000</v>
      </c>
      <c r="BR249" s="10">
        <f t="shared" si="576"/>
        <v>0</v>
      </c>
      <c r="BS249" s="10">
        <f t="shared" si="576"/>
        <v>0</v>
      </c>
      <c r="BT249" s="10">
        <f t="shared" si="576"/>
        <v>5000</v>
      </c>
      <c r="BU249" s="10">
        <f t="shared" si="576"/>
        <v>0</v>
      </c>
      <c r="BV249" s="10">
        <f t="shared" si="576"/>
        <v>0</v>
      </c>
      <c r="BW249" s="10">
        <f t="shared" si="576"/>
        <v>0</v>
      </c>
      <c r="BX249" s="10">
        <f t="shared" si="576"/>
        <v>0</v>
      </c>
      <c r="BY249" s="10">
        <f t="shared" si="576"/>
        <v>0</v>
      </c>
      <c r="BZ249" s="10">
        <f t="shared" si="576"/>
        <v>0</v>
      </c>
      <c r="CA249" s="10">
        <f t="shared" si="576"/>
        <v>0</v>
      </c>
      <c r="CB249" s="10">
        <f t="shared" si="576"/>
        <v>0</v>
      </c>
      <c r="CC249" s="10">
        <f t="shared" si="576"/>
        <v>20206026</v>
      </c>
      <c r="CD249" s="10">
        <f t="shared" si="576"/>
        <v>20206026</v>
      </c>
      <c r="CE249" s="10">
        <f t="shared" si="576"/>
        <v>13993527</v>
      </c>
      <c r="CF249" s="10">
        <f t="shared" si="576"/>
        <v>308846</v>
      </c>
      <c r="CG249" s="10">
        <f t="shared" si="576"/>
        <v>13684681</v>
      </c>
      <c r="CH249" s="10">
        <f t="shared" si="576"/>
        <v>1000000</v>
      </c>
      <c r="CI249" s="10">
        <f t="shared" si="576"/>
        <v>0</v>
      </c>
      <c r="CJ249" s="10">
        <f t="shared" si="576"/>
        <v>0</v>
      </c>
      <c r="CK249" s="10">
        <f t="shared" si="576"/>
        <v>1000000</v>
      </c>
      <c r="CL249" s="10">
        <f t="shared" si="576"/>
        <v>0</v>
      </c>
      <c r="CM249" s="10">
        <f t="shared" si="576"/>
        <v>5212499</v>
      </c>
      <c r="CN249" s="10">
        <f t="shared" si="576"/>
        <v>4246877</v>
      </c>
      <c r="CO249" s="10">
        <f t="shared" si="576"/>
        <v>965622</v>
      </c>
      <c r="CP249" s="10"/>
      <c r="CQ249" s="10">
        <f t="shared" ref="CQ249:CX249" si="577">SUM(CQ250:CQ275)</f>
        <v>0</v>
      </c>
      <c r="CR249" s="10">
        <f t="shared" si="577"/>
        <v>0</v>
      </c>
      <c r="CS249" s="10">
        <f t="shared" si="577"/>
        <v>0</v>
      </c>
      <c r="CT249" s="10">
        <f t="shared" si="577"/>
        <v>0</v>
      </c>
      <c r="CU249" s="10">
        <f t="shared" si="577"/>
        <v>0</v>
      </c>
      <c r="CV249" s="10">
        <f t="shared" si="577"/>
        <v>0</v>
      </c>
      <c r="CW249" s="10">
        <f t="shared" si="577"/>
        <v>0</v>
      </c>
      <c r="CX249" s="38">
        <f t="shared" si="577"/>
        <v>0</v>
      </c>
    </row>
    <row r="250" spans="1:102" ht="31.5" x14ac:dyDescent="0.25">
      <c r="A250" s="13" t="s">
        <v>1</v>
      </c>
      <c r="B250" s="14" t="s">
        <v>1</v>
      </c>
      <c r="C250" s="14" t="s">
        <v>82</v>
      </c>
      <c r="D250" s="15" t="s">
        <v>376</v>
      </c>
      <c r="E250" s="10">
        <f t="shared" ref="E250:E275" si="578">SUM(F250+CC250+CU250)</f>
        <v>110001</v>
      </c>
      <c r="F250" s="11">
        <f t="shared" ref="F250:F275" si="579">SUM(G250+BC250)</f>
        <v>110001</v>
      </c>
      <c r="G250" s="11">
        <f t="shared" ref="G250:G275" si="580">SUM(H250+I250+J250+Q250+T250+U250+V250+AF250+AE250)</f>
        <v>110001</v>
      </c>
      <c r="H250" s="16"/>
      <c r="I250" s="16"/>
      <c r="J250" s="11">
        <f t="shared" ref="J250:J275" si="581">SUM(K250:P250)</f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1">
        <f t="shared" si="519"/>
        <v>0</v>
      </c>
      <c r="R250" s="16"/>
      <c r="S250" s="16"/>
      <c r="T250" s="16"/>
      <c r="U250" s="16"/>
      <c r="V250" s="11">
        <f t="shared" ref="V250:V275" si="582">SUM(W250:AD250)</f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1">
        <v>0</v>
      </c>
      <c r="AF250" s="11">
        <f t="shared" ref="AF250:AF275" si="583">SUM(AG250:BB250)</f>
        <v>110001</v>
      </c>
      <c r="AG250" s="16"/>
      <c r="AH250" s="16"/>
      <c r="AI250" s="16"/>
      <c r="AJ250" s="16"/>
      <c r="AK250" s="16"/>
      <c r="AL250" s="16"/>
      <c r="AM250" s="16"/>
      <c r="AN250" s="16"/>
      <c r="AO250" s="16">
        <v>88000</v>
      </c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>
        <f>22000+1</f>
        <v>22001</v>
      </c>
      <c r="BC250" s="11">
        <f t="shared" ref="BC250:BC275" si="584">SUM(BD250+BH250+BL250+BN250+BQ250)</f>
        <v>0</v>
      </c>
      <c r="BD250" s="11">
        <f t="shared" ref="BD250:BD275" si="585">SUM(BE250:BG250)</f>
        <v>0</v>
      </c>
      <c r="BE250" s="11">
        <v>0</v>
      </c>
      <c r="BF250" s="11">
        <v>0</v>
      </c>
      <c r="BG250" s="11">
        <v>0</v>
      </c>
      <c r="BH250" s="11">
        <f t="shared" si="521"/>
        <v>0</v>
      </c>
      <c r="BI250" s="11">
        <v>0</v>
      </c>
      <c r="BJ250" s="11">
        <v>0</v>
      </c>
      <c r="BK250" s="11">
        <v>0</v>
      </c>
      <c r="BL250" s="11">
        <v>0</v>
      </c>
      <c r="BM250" s="11">
        <v>0</v>
      </c>
      <c r="BN250" s="11">
        <f t="shared" si="522"/>
        <v>0</v>
      </c>
      <c r="BO250" s="11">
        <v>0</v>
      </c>
      <c r="BP250" s="11">
        <v>0</v>
      </c>
      <c r="BQ250" s="11">
        <f t="shared" si="523"/>
        <v>0</v>
      </c>
      <c r="BR250" s="11">
        <v>0</v>
      </c>
      <c r="BS250" s="11">
        <v>0</v>
      </c>
      <c r="BT250" s="11">
        <v>0</v>
      </c>
      <c r="BU250" s="11">
        <v>0</v>
      </c>
      <c r="BV250" s="11">
        <v>0</v>
      </c>
      <c r="BW250" s="11">
        <v>0</v>
      </c>
      <c r="BX250" s="11">
        <v>0</v>
      </c>
      <c r="BY250" s="11">
        <v>0</v>
      </c>
      <c r="BZ250" s="11">
        <v>0</v>
      </c>
      <c r="CA250" s="11">
        <v>0</v>
      </c>
      <c r="CB250" s="11">
        <v>0</v>
      </c>
      <c r="CC250" s="11">
        <f t="shared" ref="CC250:CC275" si="586">SUM(CD250+CT250)</f>
        <v>0</v>
      </c>
      <c r="CD250" s="11">
        <f t="shared" ref="CD250:CD275" si="587">SUM(CE250+CH250+CM250)</f>
        <v>0</v>
      </c>
      <c r="CE250" s="11">
        <f t="shared" si="524"/>
        <v>0</v>
      </c>
      <c r="CF250" s="16"/>
      <c r="CG250" s="16"/>
      <c r="CH250" s="11">
        <f t="shared" ref="CH250:CH275" si="588">SUM(CI250:CL250)</f>
        <v>0</v>
      </c>
      <c r="CI250" s="11">
        <v>0</v>
      </c>
      <c r="CJ250" s="11">
        <v>0</v>
      </c>
      <c r="CK250" s="11">
        <v>0</v>
      </c>
      <c r="CL250" s="11">
        <v>0</v>
      </c>
      <c r="CM250" s="11">
        <f t="shared" ref="CM250:CM275" si="589">SUM(CN250:CQ250)</f>
        <v>0</v>
      </c>
      <c r="CN250" s="16"/>
      <c r="CO250" s="11">
        <v>0</v>
      </c>
      <c r="CP250" s="11"/>
      <c r="CQ250" s="11">
        <v>0</v>
      </c>
      <c r="CR250" s="11">
        <v>0</v>
      </c>
      <c r="CS250" s="11">
        <v>0</v>
      </c>
      <c r="CT250" s="11">
        <v>0</v>
      </c>
      <c r="CU250" s="11">
        <f t="shared" si="525"/>
        <v>0</v>
      </c>
      <c r="CV250" s="11">
        <f t="shared" si="526"/>
        <v>0</v>
      </c>
      <c r="CW250" s="11">
        <v>0</v>
      </c>
      <c r="CX250" s="12">
        <v>0</v>
      </c>
    </row>
    <row r="251" spans="1:102" ht="31.5" x14ac:dyDescent="0.25">
      <c r="A251" s="13" t="s">
        <v>1</v>
      </c>
      <c r="B251" s="14" t="s">
        <v>1</v>
      </c>
      <c r="C251" s="14" t="s">
        <v>84</v>
      </c>
      <c r="D251" s="15" t="s">
        <v>377</v>
      </c>
      <c r="E251" s="10">
        <f t="shared" si="578"/>
        <v>377546</v>
      </c>
      <c r="F251" s="11">
        <f t="shared" si="579"/>
        <v>377546</v>
      </c>
      <c r="G251" s="11">
        <f t="shared" si="580"/>
        <v>377546</v>
      </c>
      <c r="H251" s="16"/>
      <c r="I251" s="16"/>
      <c r="J251" s="11">
        <f t="shared" si="581"/>
        <v>148349</v>
      </c>
      <c r="K251" s="16">
        <v>0</v>
      </c>
      <c r="L251" s="16">
        <v>0</v>
      </c>
      <c r="M251" s="16">
        <f>45000+50067</f>
        <v>95067</v>
      </c>
      <c r="N251" s="16">
        <v>0</v>
      </c>
      <c r="O251" s="16">
        <v>13000</v>
      </c>
      <c r="P251" s="16">
        <f>39782+500</f>
        <v>40282</v>
      </c>
      <c r="Q251" s="11">
        <f t="shared" si="519"/>
        <v>0</v>
      </c>
      <c r="R251" s="16"/>
      <c r="S251" s="16"/>
      <c r="T251" s="16"/>
      <c r="U251" s="16"/>
      <c r="V251" s="11">
        <f t="shared" si="582"/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1">
        <v>0</v>
      </c>
      <c r="AF251" s="11">
        <f t="shared" si="583"/>
        <v>229197</v>
      </c>
      <c r="AG251" s="16"/>
      <c r="AH251" s="16"/>
      <c r="AI251" s="16">
        <v>2000</v>
      </c>
      <c r="AJ251" s="16">
        <v>2000</v>
      </c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>
        <f>138328+77977+8892</f>
        <v>225197</v>
      </c>
      <c r="BC251" s="11">
        <f t="shared" si="584"/>
        <v>0</v>
      </c>
      <c r="BD251" s="11">
        <f t="shared" si="585"/>
        <v>0</v>
      </c>
      <c r="BE251" s="11">
        <v>0</v>
      </c>
      <c r="BF251" s="11">
        <v>0</v>
      </c>
      <c r="BG251" s="11">
        <v>0</v>
      </c>
      <c r="BH251" s="11">
        <f t="shared" si="521"/>
        <v>0</v>
      </c>
      <c r="BI251" s="11">
        <v>0</v>
      </c>
      <c r="BJ251" s="11">
        <v>0</v>
      </c>
      <c r="BK251" s="11">
        <v>0</v>
      </c>
      <c r="BL251" s="11">
        <v>0</v>
      </c>
      <c r="BM251" s="11">
        <v>0</v>
      </c>
      <c r="BN251" s="11">
        <f t="shared" si="522"/>
        <v>0</v>
      </c>
      <c r="BO251" s="11">
        <v>0</v>
      </c>
      <c r="BP251" s="11">
        <v>0</v>
      </c>
      <c r="BQ251" s="11">
        <f t="shared" si="523"/>
        <v>0</v>
      </c>
      <c r="BR251" s="11">
        <v>0</v>
      </c>
      <c r="BS251" s="11">
        <v>0</v>
      </c>
      <c r="BT251" s="11">
        <v>0</v>
      </c>
      <c r="BU251" s="11">
        <v>0</v>
      </c>
      <c r="BV251" s="11">
        <v>0</v>
      </c>
      <c r="BW251" s="11">
        <v>0</v>
      </c>
      <c r="BX251" s="11">
        <v>0</v>
      </c>
      <c r="BY251" s="11">
        <v>0</v>
      </c>
      <c r="BZ251" s="11">
        <v>0</v>
      </c>
      <c r="CA251" s="11">
        <v>0</v>
      </c>
      <c r="CB251" s="11">
        <v>0</v>
      </c>
      <c r="CC251" s="11">
        <f t="shared" si="586"/>
        <v>0</v>
      </c>
      <c r="CD251" s="11">
        <f t="shared" si="587"/>
        <v>0</v>
      </c>
      <c r="CE251" s="11">
        <f t="shared" si="524"/>
        <v>0</v>
      </c>
      <c r="CF251" s="16"/>
      <c r="CG251" s="16"/>
      <c r="CH251" s="11">
        <f t="shared" si="588"/>
        <v>0</v>
      </c>
      <c r="CI251" s="11">
        <v>0</v>
      </c>
      <c r="CJ251" s="11">
        <v>0</v>
      </c>
      <c r="CK251" s="11">
        <v>0</v>
      </c>
      <c r="CL251" s="11">
        <v>0</v>
      </c>
      <c r="CM251" s="11">
        <f t="shared" si="589"/>
        <v>0</v>
      </c>
      <c r="CN251" s="16"/>
      <c r="CO251" s="11">
        <v>0</v>
      </c>
      <c r="CP251" s="11"/>
      <c r="CQ251" s="11">
        <v>0</v>
      </c>
      <c r="CR251" s="11">
        <v>0</v>
      </c>
      <c r="CS251" s="11">
        <v>0</v>
      </c>
      <c r="CT251" s="11">
        <v>0</v>
      </c>
      <c r="CU251" s="11">
        <f t="shared" si="525"/>
        <v>0</v>
      </c>
      <c r="CV251" s="11">
        <f t="shared" si="526"/>
        <v>0</v>
      </c>
      <c r="CW251" s="11">
        <v>0</v>
      </c>
      <c r="CX251" s="12">
        <v>0</v>
      </c>
    </row>
    <row r="252" spans="1:102" ht="31.5" x14ac:dyDescent="0.25">
      <c r="A252" s="13" t="s">
        <v>1</v>
      </c>
      <c r="B252" s="14" t="s">
        <v>1</v>
      </c>
      <c r="C252" s="14" t="s">
        <v>86</v>
      </c>
      <c r="D252" s="15" t="s">
        <v>378</v>
      </c>
      <c r="E252" s="10">
        <f t="shared" si="578"/>
        <v>5677755</v>
      </c>
      <c r="F252" s="11">
        <f t="shared" si="579"/>
        <v>5617753</v>
      </c>
      <c r="G252" s="11">
        <f t="shared" si="580"/>
        <v>5617753</v>
      </c>
      <c r="H252" s="16">
        <f>3666628+254618</f>
        <v>3921246</v>
      </c>
      <c r="I252" s="16">
        <f>864506+30000</f>
        <v>894506</v>
      </c>
      <c r="J252" s="11">
        <f t="shared" si="581"/>
        <v>343234</v>
      </c>
      <c r="K252" s="16">
        <v>2000</v>
      </c>
      <c r="L252" s="16">
        <v>3240</v>
      </c>
      <c r="M252" s="16">
        <f>113690+15000</f>
        <v>128690</v>
      </c>
      <c r="N252" s="16">
        <v>0</v>
      </c>
      <c r="O252" s="16">
        <v>23963</v>
      </c>
      <c r="P252" s="16">
        <f>133241+52100</f>
        <v>185341</v>
      </c>
      <c r="Q252" s="11">
        <f>SUM(R252:S252)</f>
        <v>7220</v>
      </c>
      <c r="R252" s="16">
        <v>3620</v>
      </c>
      <c r="S252" s="16">
        <v>3600</v>
      </c>
      <c r="T252" s="16"/>
      <c r="U252" s="16">
        <v>29732</v>
      </c>
      <c r="V252" s="11">
        <f t="shared" si="582"/>
        <v>236966</v>
      </c>
      <c r="W252" s="16">
        <v>11250</v>
      </c>
      <c r="X252" s="16">
        <v>154781</v>
      </c>
      <c r="Y252" s="16">
        <v>27771</v>
      </c>
      <c r="Z252" s="16">
        <v>35776</v>
      </c>
      <c r="AA252" s="16">
        <v>7168</v>
      </c>
      <c r="AB252" s="16">
        <v>0</v>
      </c>
      <c r="AC252" s="16">
        <v>0</v>
      </c>
      <c r="AD252" s="16">
        <v>220</v>
      </c>
      <c r="AE252" s="11">
        <v>0</v>
      </c>
      <c r="AF252" s="11">
        <f t="shared" si="583"/>
        <v>184849</v>
      </c>
      <c r="AG252" s="16"/>
      <c r="AH252" s="16"/>
      <c r="AI252" s="16">
        <f>1671+3000</f>
        <v>4671</v>
      </c>
      <c r="AJ252" s="16">
        <v>57919</v>
      </c>
      <c r="AK252" s="16">
        <v>2880</v>
      </c>
      <c r="AL252" s="16">
        <v>25311</v>
      </c>
      <c r="AM252" s="16"/>
      <c r="AN252" s="16">
        <v>2480</v>
      </c>
      <c r="AO252" s="16">
        <f>14240+6500</f>
        <v>20740</v>
      </c>
      <c r="AP252" s="16"/>
      <c r="AQ252" s="16"/>
      <c r="AR252" s="16"/>
      <c r="AS252" s="16"/>
      <c r="AT252" s="16"/>
      <c r="AU252" s="16">
        <v>41640</v>
      </c>
      <c r="AV252" s="16"/>
      <c r="AW252" s="16"/>
      <c r="AX252" s="16"/>
      <c r="AY252" s="16"/>
      <c r="AZ252" s="16"/>
      <c r="BA252" s="16"/>
      <c r="BB252" s="16">
        <v>29208</v>
      </c>
      <c r="BC252" s="11">
        <f t="shared" si="584"/>
        <v>0</v>
      </c>
      <c r="BD252" s="11">
        <f t="shared" si="585"/>
        <v>0</v>
      </c>
      <c r="BE252" s="11">
        <v>0</v>
      </c>
      <c r="BF252" s="11">
        <v>0</v>
      </c>
      <c r="BG252" s="11">
        <v>0</v>
      </c>
      <c r="BH252" s="11">
        <f>SUM(BJ252:BK252)</f>
        <v>0</v>
      </c>
      <c r="BI252" s="11">
        <v>0</v>
      </c>
      <c r="BJ252" s="11">
        <v>0</v>
      </c>
      <c r="BK252" s="11">
        <v>0</v>
      </c>
      <c r="BL252" s="11">
        <v>0</v>
      </c>
      <c r="BM252" s="11">
        <v>0</v>
      </c>
      <c r="BN252" s="11">
        <f>SUM(BO252)</f>
        <v>0</v>
      </c>
      <c r="BO252" s="11">
        <v>0</v>
      </c>
      <c r="BP252" s="11">
        <v>0</v>
      </c>
      <c r="BQ252" s="11">
        <f>SUM(BR252:CB252)</f>
        <v>0</v>
      </c>
      <c r="BR252" s="11">
        <v>0</v>
      </c>
      <c r="BS252" s="11">
        <v>0</v>
      </c>
      <c r="BT252" s="11">
        <v>0</v>
      </c>
      <c r="BU252" s="11">
        <v>0</v>
      </c>
      <c r="BV252" s="11">
        <v>0</v>
      </c>
      <c r="BW252" s="11">
        <v>0</v>
      </c>
      <c r="BX252" s="11">
        <v>0</v>
      </c>
      <c r="BY252" s="11">
        <v>0</v>
      </c>
      <c r="BZ252" s="11">
        <v>0</v>
      </c>
      <c r="CA252" s="11">
        <v>0</v>
      </c>
      <c r="CB252" s="11">
        <v>0</v>
      </c>
      <c r="CC252" s="11">
        <f t="shared" si="586"/>
        <v>60002</v>
      </c>
      <c r="CD252" s="11">
        <f t="shared" si="587"/>
        <v>60002</v>
      </c>
      <c r="CE252" s="11">
        <f>SUM(CF252:CG252)</f>
        <v>60002</v>
      </c>
      <c r="CF252" s="16"/>
      <c r="CG252" s="16">
        <f>40000+20002</f>
        <v>60002</v>
      </c>
      <c r="CH252" s="11">
        <f t="shared" si="588"/>
        <v>0</v>
      </c>
      <c r="CI252" s="11">
        <v>0</v>
      </c>
      <c r="CJ252" s="11">
        <v>0</v>
      </c>
      <c r="CK252" s="11">
        <v>0</v>
      </c>
      <c r="CL252" s="11">
        <v>0</v>
      </c>
      <c r="CM252" s="11">
        <f t="shared" si="589"/>
        <v>0</v>
      </c>
      <c r="CN252" s="16"/>
      <c r="CO252" s="11">
        <v>0</v>
      </c>
      <c r="CP252" s="11"/>
      <c r="CQ252" s="11">
        <v>0</v>
      </c>
      <c r="CR252" s="11">
        <v>0</v>
      </c>
      <c r="CS252" s="11">
        <v>0</v>
      </c>
      <c r="CT252" s="11">
        <v>0</v>
      </c>
      <c r="CU252" s="11">
        <f>SUM(CV252)</f>
        <v>0</v>
      </c>
      <c r="CV252" s="11">
        <f>SUM(CW252:CX252)</f>
        <v>0</v>
      </c>
      <c r="CW252" s="11">
        <v>0</v>
      </c>
      <c r="CX252" s="12">
        <v>0</v>
      </c>
    </row>
    <row r="253" spans="1:102" ht="30" customHeight="1" x14ac:dyDescent="0.25">
      <c r="A253" s="13" t="s">
        <v>1</v>
      </c>
      <c r="B253" s="14" t="s">
        <v>1</v>
      </c>
      <c r="C253" s="14" t="s">
        <v>86</v>
      </c>
      <c r="D253" s="15" t="s">
        <v>379</v>
      </c>
      <c r="E253" s="10">
        <f t="shared" si="578"/>
        <v>33311582</v>
      </c>
      <c r="F253" s="11">
        <f t="shared" si="579"/>
        <v>31357720</v>
      </c>
      <c r="G253" s="11">
        <f t="shared" si="580"/>
        <v>31357720</v>
      </c>
      <c r="H253" s="16">
        <v>10335901</v>
      </c>
      <c r="I253" s="16">
        <v>2583978</v>
      </c>
      <c r="J253" s="11">
        <f t="shared" si="581"/>
        <v>11425665</v>
      </c>
      <c r="K253" s="16">
        <v>6972452</v>
      </c>
      <c r="L253" s="16">
        <v>236988</v>
      </c>
      <c r="M253" s="16">
        <v>222843</v>
      </c>
      <c r="N253" s="16">
        <v>0</v>
      </c>
      <c r="O253" s="16">
        <f>941768+6364</f>
        <v>948132</v>
      </c>
      <c r="P253" s="16">
        <f>2784008+261242</f>
        <v>3045250</v>
      </c>
      <c r="Q253" s="11">
        <f t="shared" si="519"/>
        <v>62640</v>
      </c>
      <c r="R253" s="16">
        <v>8872</v>
      </c>
      <c r="S253" s="16">
        <v>53768</v>
      </c>
      <c r="T253" s="16">
        <v>6295</v>
      </c>
      <c r="U253" s="16">
        <f>181589+1016</f>
        <v>182605</v>
      </c>
      <c r="V253" s="11">
        <f t="shared" si="582"/>
        <v>1972540</v>
      </c>
      <c r="W253" s="16">
        <f>901058+4590</f>
        <v>905648</v>
      </c>
      <c r="X253" s="16">
        <v>359624</v>
      </c>
      <c r="Y253" s="16">
        <v>204294</v>
      </c>
      <c r="Z253" s="16">
        <v>232544</v>
      </c>
      <c r="AA253" s="16">
        <f>234706+26000</f>
        <v>260706</v>
      </c>
      <c r="AB253" s="16">
        <v>0</v>
      </c>
      <c r="AC253" s="16">
        <v>0</v>
      </c>
      <c r="AD253" s="16">
        <v>9724</v>
      </c>
      <c r="AE253" s="11"/>
      <c r="AF253" s="11">
        <f t="shared" si="583"/>
        <v>4788096</v>
      </c>
      <c r="AG253" s="16"/>
      <c r="AH253" s="16"/>
      <c r="AI253" s="16">
        <v>1283426</v>
      </c>
      <c r="AJ253" s="16">
        <f>1415286+18561</f>
        <v>1433847</v>
      </c>
      <c r="AK253" s="16"/>
      <c r="AL253" s="16">
        <f>98603+2500</f>
        <v>101103</v>
      </c>
      <c r="AM253" s="16"/>
      <c r="AN253" s="16">
        <v>55497</v>
      </c>
      <c r="AO253" s="16">
        <f>648837+2000</f>
        <v>650837</v>
      </c>
      <c r="AP253" s="16"/>
      <c r="AQ253" s="16"/>
      <c r="AR253" s="16"/>
      <c r="AS253" s="16"/>
      <c r="AT253" s="16">
        <v>560367</v>
      </c>
      <c r="AU253" s="16">
        <v>37235</v>
      </c>
      <c r="AV253" s="16"/>
      <c r="AW253" s="16">
        <v>5888</v>
      </c>
      <c r="AX253" s="16">
        <v>42060</v>
      </c>
      <c r="AY253" s="16"/>
      <c r="AZ253" s="16"/>
      <c r="BA253" s="16"/>
      <c r="BB253" s="16">
        <v>617836</v>
      </c>
      <c r="BC253" s="11">
        <f t="shared" si="584"/>
        <v>0</v>
      </c>
      <c r="BD253" s="11">
        <f t="shared" si="585"/>
        <v>0</v>
      </c>
      <c r="BE253" s="11">
        <v>0</v>
      </c>
      <c r="BF253" s="11">
        <v>0</v>
      </c>
      <c r="BG253" s="11">
        <v>0</v>
      </c>
      <c r="BH253" s="11">
        <f t="shared" si="521"/>
        <v>0</v>
      </c>
      <c r="BI253" s="11">
        <v>0</v>
      </c>
      <c r="BJ253" s="11">
        <v>0</v>
      </c>
      <c r="BK253" s="11">
        <v>0</v>
      </c>
      <c r="BL253" s="11">
        <v>0</v>
      </c>
      <c r="BM253" s="11">
        <v>0</v>
      </c>
      <c r="BN253" s="11">
        <f t="shared" si="522"/>
        <v>0</v>
      </c>
      <c r="BO253" s="11">
        <v>0</v>
      </c>
      <c r="BP253" s="11">
        <v>0</v>
      </c>
      <c r="BQ253" s="11">
        <f t="shared" si="523"/>
        <v>0</v>
      </c>
      <c r="BR253" s="11">
        <v>0</v>
      </c>
      <c r="BS253" s="11">
        <v>0</v>
      </c>
      <c r="BT253" s="11">
        <v>0</v>
      </c>
      <c r="BU253" s="11">
        <v>0</v>
      </c>
      <c r="BV253" s="11">
        <v>0</v>
      </c>
      <c r="BW253" s="11">
        <v>0</v>
      </c>
      <c r="BX253" s="11">
        <v>0</v>
      </c>
      <c r="BY253" s="11">
        <v>0</v>
      </c>
      <c r="BZ253" s="11">
        <v>0</v>
      </c>
      <c r="CA253" s="11">
        <v>0</v>
      </c>
      <c r="CB253" s="11">
        <v>0</v>
      </c>
      <c r="CC253" s="11">
        <f t="shared" si="586"/>
        <v>1953862</v>
      </c>
      <c r="CD253" s="11">
        <f t="shared" si="587"/>
        <v>1953862</v>
      </c>
      <c r="CE253" s="11">
        <f t="shared" si="524"/>
        <v>1478384</v>
      </c>
      <c r="CF253" s="16"/>
      <c r="CG253" s="16">
        <f>1465384+13000</f>
        <v>1478384</v>
      </c>
      <c r="CH253" s="11">
        <f t="shared" si="588"/>
        <v>0</v>
      </c>
      <c r="CI253" s="11">
        <v>0</v>
      </c>
      <c r="CJ253" s="11">
        <v>0</v>
      </c>
      <c r="CK253" s="11">
        <v>0</v>
      </c>
      <c r="CL253" s="11">
        <v>0</v>
      </c>
      <c r="CM253" s="11">
        <f t="shared" si="589"/>
        <v>475478</v>
      </c>
      <c r="CN253" s="16">
        <v>475478</v>
      </c>
      <c r="CO253" s="11">
        <v>0</v>
      </c>
      <c r="CP253" s="11"/>
      <c r="CQ253" s="11">
        <v>0</v>
      </c>
      <c r="CR253" s="11">
        <v>0</v>
      </c>
      <c r="CS253" s="11">
        <v>0</v>
      </c>
      <c r="CT253" s="11">
        <v>0</v>
      </c>
      <c r="CU253" s="11">
        <f t="shared" si="525"/>
        <v>0</v>
      </c>
      <c r="CV253" s="11">
        <f t="shared" si="526"/>
        <v>0</v>
      </c>
      <c r="CW253" s="11">
        <v>0</v>
      </c>
      <c r="CX253" s="12">
        <v>0</v>
      </c>
    </row>
    <row r="254" spans="1:102" ht="31.5" x14ac:dyDescent="0.25">
      <c r="A254" s="13" t="s">
        <v>1</v>
      </c>
      <c r="B254" s="14" t="s">
        <v>1</v>
      </c>
      <c r="C254" s="14" t="s">
        <v>86</v>
      </c>
      <c r="D254" s="15" t="s">
        <v>380</v>
      </c>
      <c r="E254" s="10">
        <f t="shared" si="578"/>
        <v>36206703</v>
      </c>
      <c r="F254" s="11">
        <f t="shared" si="579"/>
        <v>33628821</v>
      </c>
      <c r="G254" s="11">
        <f t="shared" si="580"/>
        <v>33628821</v>
      </c>
      <c r="H254" s="16">
        <v>8843174</v>
      </c>
      <c r="I254" s="16">
        <v>2210794</v>
      </c>
      <c r="J254" s="11">
        <f t="shared" si="581"/>
        <v>17007287</v>
      </c>
      <c r="K254" s="16">
        <f>13124452+600000-394000</f>
        <v>13330452</v>
      </c>
      <c r="L254" s="16">
        <v>107217</v>
      </c>
      <c r="M254" s="16">
        <v>10000</v>
      </c>
      <c r="N254" s="16">
        <v>500</v>
      </c>
      <c r="O254" s="16">
        <f>385262+45000+50000</f>
        <v>480262</v>
      </c>
      <c r="P254" s="16">
        <f>2300149+758707+20000</f>
        <v>3078856</v>
      </c>
      <c r="Q254" s="11">
        <f t="shared" si="519"/>
        <v>6645</v>
      </c>
      <c r="R254" s="16">
        <v>6045</v>
      </c>
      <c r="S254" s="16">
        <v>600</v>
      </c>
      <c r="T254" s="16">
        <v>29760</v>
      </c>
      <c r="U254" s="16">
        <f>135395+252+4000</f>
        <v>139647</v>
      </c>
      <c r="V254" s="11">
        <f t="shared" si="582"/>
        <v>1525643</v>
      </c>
      <c r="W254" s="16">
        <f>735740+3000+10000</f>
        <v>748740</v>
      </c>
      <c r="X254" s="16">
        <f>327430+500</f>
        <v>327930</v>
      </c>
      <c r="Y254" s="16">
        <v>176633</v>
      </c>
      <c r="Z254" s="16">
        <f>109906+500</f>
        <v>110406</v>
      </c>
      <c r="AA254" s="16">
        <f>96616</f>
        <v>96616</v>
      </c>
      <c r="AB254" s="16">
        <v>60000</v>
      </c>
      <c r="AC254" s="16">
        <v>0</v>
      </c>
      <c r="AD254" s="16">
        <v>5318</v>
      </c>
      <c r="AE254" s="11"/>
      <c r="AF254" s="11">
        <f t="shared" si="583"/>
        <v>3865871</v>
      </c>
      <c r="AG254" s="16"/>
      <c r="AH254" s="16"/>
      <c r="AI254" s="16">
        <v>499466</v>
      </c>
      <c r="AJ254" s="16">
        <f>1878942+71566+10000</f>
        <v>1960508</v>
      </c>
      <c r="AK254" s="16"/>
      <c r="AL254" s="16">
        <v>107917</v>
      </c>
      <c r="AM254" s="16"/>
      <c r="AN254" s="16">
        <v>21800</v>
      </c>
      <c r="AO254" s="16">
        <f>381400+40000</f>
        <v>421400</v>
      </c>
      <c r="AP254" s="16"/>
      <c r="AQ254" s="16">
        <v>2000</v>
      </c>
      <c r="AR254" s="16"/>
      <c r="AS254" s="16"/>
      <c r="AT254" s="16">
        <v>40000</v>
      </c>
      <c r="AU254" s="16">
        <f>120640+18000</f>
        <v>138640</v>
      </c>
      <c r="AV254" s="16"/>
      <c r="AW254" s="16"/>
      <c r="AX254" s="16">
        <v>17446</v>
      </c>
      <c r="AY254" s="16"/>
      <c r="AZ254" s="16"/>
      <c r="BA254" s="16"/>
      <c r="BB254" s="16">
        <f>649644+7050</f>
        <v>656694</v>
      </c>
      <c r="BC254" s="11">
        <f t="shared" si="584"/>
        <v>0</v>
      </c>
      <c r="BD254" s="11">
        <f t="shared" si="585"/>
        <v>0</v>
      </c>
      <c r="BE254" s="11">
        <v>0</v>
      </c>
      <c r="BF254" s="11">
        <v>0</v>
      </c>
      <c r="BG254" s="11">
        <v>0</v>
      </c>
      <c r="BH254" s="11">
        <f t="shared" si="521"/>
        <v>0</v>
      </c>
      <c r="BI254" s="11">
        <v>0</v>
      </c>
      <c r="BJ254" s="11">
        <v>0</v>
      </c>
      <c r="BK254" s="11">
        <v>0</v>
      </c>
      <c r="BL254" s="11">
        <v>0</v>
      </c>
      <c r="BM254" s="11">
        <v>0</v>
      </c>
      <c r="BN254" s="11">
        <f t="shared" si="522"/>
        <v>0</v>
      </c>
      <c r="BO254" s="11">
        <v>0</v>
      </c>
      <c r="BP254" s="11">
        <v>0</v>
      </c>
      <c r="BQ254" s="11">
        <f t="shared" si="523"/>
        <v>0</v>
      </c>
      <c r="BR254" s="11">
        <v>0</v>
      </c>
      <c r="BS254" s="11">
        <v>0</v>
      </c>
      <c r="BT254" s="11">
        <v>0</v>
      </c>
      <c r="BU254" s="11">
        <v>0</v>
      </c>
      <c r="BV254" s="11">
        <v>0</v>
      </c>
      <c r="BW254" s="11">
        <v>0</v>
      </c>
      <c r="BX254" s="11">
        <v>0</v>
      </c>
      <c r="BY254" s="11">
        <v>0</v>
      </c>
      <c r="BZ254" s="11">
        <v>0</v>
      </c>
      <c r="CA254" s="11">
        <v>0</v>
      </c>
      <c r="CB254" s="11">
        <v>0</v>
      </c>
      <c r="CC254" s="11">
        <f t="shared" si="586"/>
        <v>2577882</v>
      </c>
      <c r="CD254" s="11">
        <f t="shared" si="587"/>
        <v>2577882</v>
      </c>
      <c r="CE254" s="11">
        <f t="shared" si="524"/>
        <v>2537882</v>
      </c>
      <c r="CF254" s="16"/>
      <c r="CG254" s="16">
        <f>1713864+524018+300000</f>
        <v>2537882</v>
      </c>
      <c r="CH254" s="11">
        <f t="shared" si="588"/>
        <v>0</v>
      </c>
      <c r="CI254" s="11">
        <v>0</v>
      </c>
      <c r="CJ254" s="11">
        <v>0</v>
      </c>
      <c r="CK254" s="11">
        <v>0</v>
      </c>
      <c r="CL254" s="11">
        <v>0</v>
      </c>
      <c r="CM254" s="11">
        <f t="shared" si="589"/>
        <v>40000</v>
      </c>
      <c r="CN254" s="16">
        <v>40000</v>
      </c>
      <c r="CO254" s="11">
        <v>0</v>
      </c>
      <c r="CP254" s="11"/>
      <c r="CQ254" s="11">
        <v>0</v>
      </c>
      <c r="CR254" s="11"/>
      <c r="CS254" s="11"/>
      <c r="CT254" s="11">
        <v>0</v>
      </c>
      <c r="CU254" s="11">
        <f t="shared" si="525"/>
        <v>0</v>
      </c>
      <c r="CV254" s="11">
        <f t="shared" si="526"/>
        <v>0</v>
      </c>
      <c r="CW254" s="11">
        <v>0</v>
      </c>
      <c r="CX254" s="12">
        <v>0</v>
      </c>
    </row>
    <row r="255" spans="1:102" ht="31.5" x14ac:dyDescent="0.25">
      <c r="A255" s="13" t="s">
        <v>1</v>
      </c>
      <c r="B255" s="14" t="s">
        <v>1</v>
      </c>
      <c r="C255" s="14" t="s">
        <v>86</v>
      </c>
      <c r="D255" s="15" t="s">
        <v>381</v>
      </c>
      <c r="E255" s="10">
        <f t="shared" si="578"/>
        <v>5922778</v>
      </c>
      <c r="F255" s="11">
        <f t="shared" si="579"/>
        <v>5181045</v>
      </c>
      <c r="G255" s="11">
        <f t="shared" si="580"/>
        <v>5181045</v>
      </c>
      <c r="H255" s="16">
        <f>1286859+1392+520000-5814</f>
        <v>1802437</v>
      </c>
      <c r="I255" s="16">
        <f>323115+348+130000-697</f>
        <v>452766</v>
      </c>
      <c r="J255" s="11">
        <f t="shared" si="581"/>
        <v>1584298</v>
      </c>
      <c r="K255" s="16">
        <f>459848+3440</f>
        <v>463288</v>
      </c>
      <c r="L255" s="16">
        <v>22052</v>
      </c>
      <c r="M255" s="16">
        <v>55000</v>
      </c>
      <c r="N255" s="16">
        <v>0</v>
      </c>
      <c r="O255" s="16">
        <f>183747+75000</f>
        <v>258747</v>
      </c>
      <c r="P255" s="16">
        <f>441145+84066+260000</f>
        <v>785211</v>
      </c>
      <c r="Q255" s="11">
        <f t="shared" si="519"/>
        <v>31359</v>
      </c>
      <c r="R255" s="16">
        <f>17799+5000</f>
        <v>22799</v>
      </c>
      <c r="S255" s="16">
        <v>8560</v>
      </c>
      <c r="T255" s="16"/>
      <c r="U255" s="16">
        <f>45319+26000</f>
        <v>71319</v>
      </c>
      <c r="V255" s="11">
        <f t="shared" si="582"/>
        <v>303849</v>
      </c>
      <c r="W255" s="16">
        <v>25360</v>
      </c>
      <c r="X255" s="16">
        <v>78530</v>
      </c>
      <c r="Y255" s="16">
        <v>139969</v>
      </c>
      <c r="Z255" s="16">
        <v>44698</v>
      </c>
      <c r="AA255" s="16">
        <f>8972+2000</f>
        <v>10972</v>
      </c>
      <c r="AB255" s="16">
        <v>0</v>
      </c>
      <c r="AC255" s="16">
        <v>0</v>
      </c>
      <c r="AD255" s="16">
        <v>4320</v>
      </c>
      <c r="AE255" s="11"/>
      <c r="AF255" s="11">
        <f t="shared" si="583"/>
        <v>935017</v>
      </c>
      <c r="AG255" s="16"/>
      <c r="AH255" s="16"/>
      <c r="AI255" s="16">
        <f>66357+5000</f>
        <v>71357</v>
      </c>
      <c r="AJ255" s="16">
        <f>290104+75185+140000</f>
        <v>505289</v>
      </c>
      <c r="AK255" s="16"/>
      <c r="AL255" s="16">
        <v>41043</v>
      </c>
      <c r="AM255" s="16"/>
      <c r="AN255" s="16">
        <v>1300</v>
      </c>
      <c r="AO255" s="16">
        <v>10000</v>
      </c>
      <c r="AP255" s="16"/>
      <c r="AQ255" s="16"/>
      <c r="AR255" s="16">
        <f>0+6511</f>
        <v>6511</v>
      </c>
      <c r="AS255" s="16"/>
      <c r="AT255" s="16">
        <v>5000</v>
      </c>
      <c r="AU255" s="16">
        <v>89412</v>
      </c>
      <c r="AV255" s="16"/>
      <c r="AW255" s="16"/>
      <c r="AX255" s="16"/>
      <c r="AY255" s="16"/>
      <c r="AZ255" s="16"/>
      <c r="BA255" s="16"/>
      <c r="BB255" s="16">
        <f>190105+15000</f>
        <v>205105</v>
      </c>
      <c r="BC255" s="11">
        <f t="shared" si="584"/>
        <v>0</v>
      </c>
      <c r="BD255" s="11">
        <f t="shared" si="585"/>
        <v>0</v>
      </c>
      <c r="BE255" s="11">
        <v>0</v>
      </c>
      <c r="BF255" s="11">
        <v>0</v>
      </c>
      <c r="BG255" s="11">
        <v>0</v>
      </c>
      <c r="BH255" s="11">
        <f t="shared" si="521"/>
        <v>0</v>
      </c>
      <c r="BI255" s="11">
        <v>0</v>
      </c>
      <c r="BJ255" s="11">
        <v>0</v>
      </c>
      <c r="BK255" s="11">
        <v>0</v>
      </c>
      <c r="BL255" s="11">
        <v>0</v>
      </c>
      <c r="BM255" s="11">
        <v>0</v>
      </c>
      <c r="BN255" s="11">
        <f t="shared" si="522"/>
        <v>0</v>
      </c>
      <c r="BO255" s="11">
        <v>0</v>
      </c>
      <c r="BP255" s="11">
        <v>0</v>
      </c>
      <c r="BQ255" s="11">
        <f t="shared" si="523"/>
        <v>0</v>
      </c>
      <c r="BR255" s="11">
        <v>0</v>
      </c>
      <c r="BS255" s="11">
        <v>0</v>
      </c>
      <c r="BT255" s="11">
        <v>0</v>
      </c>
      <c r="BU255" s="11">
        <v>0</v>
      </c>
      <c r="BV255" s="11">
        <v>0</v>
      </c>
      <c r="BW255" s="11">
        <v>0</v>
      </c>
      <c r="BX255" s="11">
        <v>0</v>
      </c>
      <c r="BY255" s="11">
        <v>0</v>
      </c>
      <c r="BZ255" s="11">
        <v>0</v>
      </c>
      <c r="CA255" s="11">
        <v>0</v>
      </c>
      <c r="CB255" s="11">
        <v>0</v>
      </c>
      <c r="CC255" s="11">
        <f t="shared" si="586"/>
        <v>741733</v>
      </c>
      <c r="CD255" s="11">
        <f t="shared" si="587"/>
        <v>741733</v>
      </c>
      <c r="CE255" s="11">
        <f t="shared" si="524"/>
        <v>741733</v>
      </c>
      <c r="CF255" s="16"/>
      <c r="CG255" s="16">
        <f>241124+100609+400000</f>
        <v>741733</v>
      </c>
      <c r="CH255" s="11">
        <f t="shared" si="588"/>
        <v>0</v>
      </c>
      <c r="CI255" s="11">
        <v>0</v>
      </c>
      <c r="CJ255" s="11">
        <v>0</v>
      </c>
      <c r="CK255" s="11">
        <v>0</v>
      </c>
      <c r="CL255" s="11">
        <v>0</v>
      </c>
      <c r="CM255" s="11">
        <f t="shared" si="589"/>
        <v>0</v>
      </c>
      <c r="CN255" s="16"/>
      <c r="CO255" s="11">
        <v>0</v>
      </c>
      <c r="CP255" s="11"/>
      <c r="CQ255" s="11">
        <v>0</v>
      </c>
      <c r="CR255" s="11"/>
      <c r="CS255" s="11"/>
      <c r="CT255" s="11">
        <v>0</v>
      </c>
      <c r="CU255" s="11">
        <f t="shared" si="525"/>
        <v>0</v>
      </c>
      <c r="CV255" s="11">
        <f t="shared" si="526"/>
        <v>0</v>
      </c>
      <c r="CW255" s="11">
        <v>0</v>
      </c>
      <c r="CX255" s="12">
        <v>0</v>
      </c>
    </row>
    <row r="256" spans="1:102" ht="31.5" x14ac:dyDescent="0.25">
      <c r="A256" s="13" t="s">
        <v>1</v>
      </c>
      <c r="B256" s="14" t="s">
        <v>1</v>
      </c>
      <c r="C256" s="14" t="s">
        <v>88</v>
      </c>
      <c r="D256" s="15" t="s">
        <v>382</v>
      </c>
      <c r="E256" s="10">
        <f t="shared" si="578"/>
        <v>8941469</v>
      </c>
      <c r="F256" s="11">
        <f t="shared" si="579"/>
        <v>8527770</v>
      </c>
      <c r="G256" s="11">
        <f t="shared" si="580"/>
        <v>8527770</v>
      </c>
      <c r="H256" s="16">
        <v>2571353</v>
      </c>
      <c r="I256" s="16">
        <v>613297</v>
      </c>
      <c r="J256" s="11">
        <f t="shared" si="581"/>
        <v>2483013</v>
      </c>
      <c r="K256" s="16">
        <v>35036</v>
      </c>
      <c r="L256" s="16">
        <v>24537</v>
      </c>
      <c r="M256" s="16">
        <v>1085354</v>
      </c>
      <c r="N256" s="16">
        <v>0</v>
      </c>
      <c r="O256" s="16">
        <v>608454</v>
      </c>
      <c r="P256" s="16">
        <f>656347+73285</f>
        <v>729632</v>
      </c>
      <c r="Q256" s="11">
        <f t="shared" si="519"/>
        <v>43326</v>
      </c>
      <c r="R256" s="16">
        <v>43326</v>
      </c>
      <c r="S256" s="16"/>
      <c r="T256" s="16"/>
      <c r="U256" s="16">
        <v>116558</v>
      </c>
      <c r="V256" s="11">
        <f t="shared" si="582"/>
        <v>1513304</v>
      </c>
      <c r="W256" s="16">
        <v>54518</v>
      </c>
      <c r="X256" s="16">
        <f>788046+25677</f>
        <v>813723</v>
      </c>
      <c r="Y256" s="16">
        <v>398813</v>
      </c>
      <c r="Z256" s="16">
        <v>166061</v>
      </c>
      <c r="AA256" s="16">
        <f>76944+3001</f>
        <v>79945</v>
      </c>
      <c r="AB256" s="16">
        <v>0</v>
      </c>
      <c r="AC256" s="16">
        <v>0</v>
      </c>
      <c r="AD256" s="16">
        <v>244</v>
      </c>
      <c r="AE256" s="11"/>
      <c r="AF256" s="11">
        <f t="shared" si="583"/>
        <v>1186919</v>
      </c>
      <c r="AG256" s="16"/>
      <c r="AH256" s="16"/>
      <c r="AI256" s="16">
        <v>105484</v>
      </c>
      <c r="AJ256" s="16">
        <f>304409+52120</f>
        <v>356529</v>
      </c>
      <c r="AK256" s="16">
        <f>57380+576</f>
        <v>57956</v>
      </c>
      <c r="AL256" s="16">
        <v>68120</v>
      </c>
      <c r="AM256" s="16"/>
      <c r="AN256" s="16">
        <v>10875</v>
      </c>
      <c r="AO256" s="16">
        <v>66016</v>
      </c>
      <c r="AP256" s="16"/>
      <c r="AQ256" s="16">
        <v>1500</v>
      </c>
      <c r="AR256" s="16"/>
      <c r="AS256" s="16"/>
      <c r="AT256" s="16"/>
      <c r="AU256" s="16">
        <v>0</v>
      </c>
      <c r="AV256" s="16"/>
      <c r="AW256" s="16"/>
      <c r="AX256" s="16"/>
      <c r="AY256" s="16"/>
      <c r="AZ256" s="16"/>
      <c r="BA256" s="16"/>
      <c r="BB256" s="16">
        <v>520439</v>
      </c>
      <c r="BC256" s="11">
        <f t="shared" si="584"/>
        <v>0</v>
      </c>
      <c r="BD256" s="11">
        <f t="shared" si="585"/>
        <v>0</v>
      </c>
      <c r="BE256" s="11">
        <v>0</v>
      </c>
      <c r="BF256" s="11">
        <v>0</v>
      </c>
      <c r="BG256" s="11">
        <v>0</v>
      </c>
      <c r="BH256" s="11">
        <f t="shared" si="521"/>
        <v>0</v>
      </c>
      <c r="BI256" s="11">
        <v>0</v>
      </c>
      <c r="BJ256" s="11">
        <v>0</v>
      </c>
      <c r="BK256" s="11">
        <v>0</v>
      </c>
      <c r="BL256" s="11">
        <v>0</v>
      </c>
      <c r="BM256" s="11">
        <v>0</v>
      </c>
      <c r="BN256" s="11">
        <f t="shared" si="522"/>
        <v>0</v>
      </c>
      <c r="BO256" s="11">
        <v>0</v>
      </c>
      <c r="BP256" s="11">
        <v>0</v>
      </c>
      <c r="BQ256" s="11">
        <f t="shared" si="523"/>
        <v>0</v>
      </c>
      <c r="BR256" s="11">
        <v>0</v>
      </c>
      <c r="BS256" s="11">
        <v>0</v>
      </c>
      <c r="BT256" s="11">
        <v>0</v>
      </c>
      <c r="BU256" s="11">
        <v>0</v>
      </c>
      <c r="BV256" s="11">
        <v>0</v>
      </c>
      <c r="BW256" s="11">
        <v>0</v>
      </c>
      <c r="BX256" s="11">
        <v>0</v>
      </c>
      <c r="BY256" s="11">
        <v>0</v>
      </c>
      <c r="BZ256" s="11">
        <v>0</v>
      </c>
      <c r="CA256" s="11">
        <v>0</v>
      </c>
      <c r="CB256" s="11">
        <v>0</v>
      </c>
      <c r="CC256" s="11">
        <f t="shared" si="586"/>
        <v>413699</v>
      </c>
      <c r="CD256" s="11">
        <f t="shared" si="587"/>
        <v>413699</v>
      </c>
      <c r="CE256" s="11">
        <f t="shared" si="524"/>
        <v>319043</v>
      </c>
      <c r="CF256" s="16"/>
      <c r="CG256" s="16">
        <v>319043</v>
      </c>
      <c r="CH256" s="11">
        <f t="shared" si="588"/>
        <v>0</v>
      </c>
      <c r="CI256" s="11">
        <v>0</v>
      </c>
      <c r="CJ256" s="11">
        <v>0</v>
      </c>
      <c r="CK256" s="11">
        <v>0</v>
      </c>
      <c r="CL256" s="11">
        <v>0</v>
      </c>
      <c r="CM256" s="11">
        <f t="shared" si="589"/>
        <v>94656</v>
      </c>
      <c r="CN256" s="16">
        <v>94656</v>
      </c>
      <c r="CO256" s="11">
        <v>0</v>
      </c>
      <c r="CP256" s="11"/>
      <c r="CQ256" s="11">
        <v>0</v>
      </c>
      <c r="CR256" s="11"/>
      <c r="CS256" s="11"/>
      <c r="CT256" s="11">
        <v>0</v>
      </c>
      <c r="CU256" s="11">
        <f t="shared" si="525"/>
        <v>0</v>
      </c>
      <c r="CV256" s="11">
        <f t="shared" si="526"/>
        <v>0</v>
      </c>
      <c r="CW256" s="11">
        <v>0</v>
      </c>
      <c r="CX256" s="12">
        <v>0</v>
      </c>
    </row>
    <row r="257" spans="1:102" ht="31.5" x14ac:dyDescent="0.25">
      <c r="A257" s="13" t="s">
        <v>1</v>
      </c>
      <c r="B257" s="14" t="s">
        <v>1</v>
      </c>
      <c r="C257" s="14" t="s">
        <v>90</v>
      </c>
      <c r="D257" s="15" t="s">
        <v>383</v>
      </c>
      <c r="E257" s="10">
        <f t="shared" si="578"/>
        <v>1038276</v>
      </c>
      <c r="F257" s="11">
        <f t="shared" si="579"/>
        <v>1010349</v>
      </c>
      <c r="G257" s="11">
        <f t="shared" si="580"/>
        <v>1010349</v>
      </c>
      <c r="H257" s="16">
        <v>315524</v>
      </c>
      <c r="I257" s="16">
        <v>74281</v>
      </c>
      <c r="J257" s="11">
        <f t="shared" si="581"/>
        <v>2793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2793</v>
      </c>
      <c r="Q257" s="11">
        <f t="shared" si="519"/>
        <v>0</v>
      </c>
      <c r="R257" s="16"/>
      <c r="S257" s="16"/>
      <c r="T257" s="16"/>
      <c r="U257" s="16">
        <v>8891</v>
      </c>
      <c r="V257" s="11">
        <f t="shared" si="582"/>
        <v>5155</v>
      </c>
      <c r="W257" s="16">
        <v>737</v>
      </c>
      <c r="X257" s="16">
        <v>2224</v>
      </c>
      <c r="Y257" s="16">
        <v>1889</v>
      </c>
      <c r="Z257" s="16">
        <v>305</v>
      </c>
      <c r="AA257" s="16">
        <v>0</v>
      </c>
      <c r="AB257" s="16">
        <v>0</v>
      </c>
      <c r="AC257" s="16">
        <v>0</v>
      </c>
      <c r="AD257" s="16">
        <v>0</v>
      </c>
      <c r="AE257" s="11"/>
      <c r="AF257" s="11">
        <f t="shared" si="583"/>
        <v>603705</v>
      </c>
      <c r="AG257" s="16"/>
      <c r="AH257" s="16"/>
      <c r="AI257" s="16"/>
      <c r="AJ257" s="16"/>
      <c r="AK257" s="16"/>
      <c r="AL257" s="16"/>
      <c r="AM257" s="16"/>
      <c r="AN257" s="16">
        <v>2793</v>
      </c>
      <c r="AO257" s="16">
        <v>600752</v>
      </c>
      <c r="AP257" s="16"/>
      <c r="AQ257" s="16"/>
      <c r="AR257" s="16"/>
      <c r="AS257" s="16"/>
      <c r="AT257" s="16"/>
      <c r="AU257" s="16">
        <v>160</v>
      </c>
      <c r="AV257" s="16"/>
      <c r="AW257" s="16"/>
      <c r="AX257" s="16"/>
      <c r="AY257" s="16"/>
      <c r="AZ257" s="16"/>
      <c r="BA257" s="16"/>
      <c r="BB257" s="16">
        <v>0</v>
      </c>
      <c r="BC257" s="11">
        <f t="shared" si="584"/>
        <v>0</v>
      </c>
      <c r="BD257" s="11">
        <f t="shared" si="585"/>
        <v>0</v>
      </c>
      <c r="BE257" s="11">
        <v>0</v>
      </c>
      <c r="BF257" s="11">
        <v>0</v>
      </c>
      <c r="BG257" s="11">
        <v>0</v>
      </c>
      <c r="BH257" s="11">
        <f t="shared" si="521"/>
        <v>0</v>
      </c>
      <c r="BI257" s="11">
        <v>0</v>
      </c>
      <c r="BJ257" s="11">
        <v>0</v>
      </c>
      <c r="BK257" s="11">
        <v>0</v>
      </c>
      <c r="BL257" s="11">
        <v>0</v>
      </c>
      <c r="BM257" s="11">
        <v>0</v>
      </c>
      <c r="BN257" s="11">
        <f t="shared" si="522"/>
        <v>0</v>
      </c>
      <c r="BO257" s="11">
        <v>0</v>
      </c>
      <c r="BP257" s="11">
        <v>0</v>
      </c>
      <c r="BQ257" s="11">
        <f t="shared" si="523"/>
        <v>0</v>
      </c>
      <c r="BR257" s="11">
        <v>0</v>
      </c>
      <c r="BS257" s="11">
        <v>0</v>
      </c>
      <c r="BT257" s="11">
        <v>0</v>
      </c>
      <c r="BU257" s="11">
        <v>0</v>
      </c>
      <c r="BV257" s="11">
        <v>0</v>
      </c>
      <c r="BW257" s="11">
        <v>0</v>
      </c>
      <c r="BX257" s="11">
        <v>0</v>
      </c>
      <c r="BY257" s="11">
        <v>0</v>
      </c>
      <c r="BZ257" s="11">
        <v>0</v>
      </c>
      <c r="CA257" s="11">
        <v>0</v>
      </c>
      <c r="CB257" s="11">
        <v>0</v>
      </c>
      <c r="CC257" s="11">
        <f t="shared" si="586"/>
        <v>27927</v>
      </c>
      <c r="CD257" s="11">
        <f t="shared" si="587"/>
        <v>27927</v>
      </c>
      <c r="CE257" s="11">
        <f t="shared" si="524"/>
        <v>27927</v>
      </c>
      <c r="CF257" s="16"/>
      <c r="CG257" s="16">
        <v>27927</v>
      </c>
      <c r="CH257" s="11">
        <f t="shared" si="588"/>
        <v>0</v>
      </c>
      <c r="CI257" s="11">
        <v>0</v>
      </c>
      <c r="CJ257" s="11">
        <v>0</v>
      </c>
      <c r="CK257" s="11">
        <v>0</v>
      </c>
      <c r="CL257" s="11">
        <v>0</v>
      </c>
      <c r="CM257" s="11">
        <f t="shared" si="589"/>
        <v>0</v>
      </c>
      <c r="CN257" s="16"/>
      <c r="CO257" s="11">
        <v>0</v>
      </c>
      <c r="CP257" s="11"/>
      <c r="CQ257" s="11">
        <v>0</v>
      </c>
      <c r="CR257" s="11">
        <v>0</v>
      </c>
      <c r="CS257" s="11">
        <v>0</v>
      </c>
      <c r="CT257" s="11">
        <v>0</v>
      </c>
      <c r="CU257" s="11">
        <f t="shared" si="525"/>
        <v>0</v>
      </c>
      <c r="CV257" s="11">
        <f t="shared" si="526"/>
        <v>0</v>
      </c>
      <c r="CW257" s="11">
        <v>0</v>
      </c>
      <c r="CX257" s="12">
        <v>0</v>
      </c>
    </row>
    <row r="258" spans="1:102" ht="15.75" x14ac:dyDescent="0.25">
      <c r="A258" s="13" t="s">
        <v>1</v>
      </c>
      <c r="B258" s="14" t="s">
        <v>1</v>
      </c>
      <c r="C258" s="14" t="s">
        <v>169</v>
      </c>
      <c r="D258" s="15" t="s">
        <v>384</v>
      </c>
      <c r="E258" s="10">
        <f t="shared" si="578"/>
        <v>52661603</v>
      </c>
      <c r="F258" s="11">
        <f t="shared" si="579"/>
        <v>48074610</v>
      </c>
      <c r="G258" s="11">
        <f t="shared" si="580"/>
        <v>48074610</v>
      </c>
      <c r="H258" s="16">
        <f>30019387+100000</f>
        <v>30119387</v>
      </c>
      <c r="I258" s="16">
        <f>2746748+65770</f>
        <v>2812518</v>
      </c>
      <c r="J258" s="11">
        <f t="shared" si="581"/>
        <v>9698185</v>
      </c>
      <c r="K258" s="16">
        <f>20000+35000</f>
        <v>55000</v>
      </c>
      <c r="L258" s="16">
        <v>1734945</v>
      </c>
      <c r="M258" s="16">
        <f>460000+100000</f>
        <v>560000</v>
      </c>
      <c r="N258" s="16">
        <v>0</v>
      </c>
      <c r="O258" s="16">
        <f>2451317+50000</f>
        <v>2501317</v>
      </c>
      <c r="P258" s="16">
        <f>3340386+1506537</f>
        <v>4846923</v>
      </c>
      <c r="Q258" s="11">
        <f t="shared" si="519"/>
        <v>149185</v>
      </c>
      <c r="R258" s="16">
        <v>61185</v>
      </c>
      <c r="S258" s="16">
        <v>88000</v>
      </c>
      <c r="T258" s="16"/>
      <c r="U258" s="16">
        <f>455412+10599</f>
        <v>466011</v>
      </c>
      <c r="V258" s="11">
        <f t="shared" si="582"/>
        <v>571214</v>
      </c>
      <c r="W258" s="16">
        <f>103699+10000</f>
        <v>113699</v>
      </c>
      <c r="X258" s="16">
        <v>132644</v>
      </c>
      <c r="Y258" s="16">
        <v>141997</v>
      </c>
      <c r="Z258" s="16">
        <v>110714</v>
      </c>
      <c r="AA258" s="16">
        <f>32564+10000</f>
        <v>42564</v>
      </c>
      <c r="AB258" s="16">
        <v>16724</v>
      </c>
      <c r="AC258" s="16">
        <v>0</v>
      </c>
      <c r="AD258" s="16">
        <v>12872</v>
      </c>
      <c r="AE258" s="11"/>
      <c r="AF258" s="11">
        <f t="shared" si="583"/>
        <v>4258110</v>
      </c>
      <c r="AG258" s="16"/>
      <c r="AH258" s="16"/>
      <c r="AI258" s="16">
        <f>182100+37560</f>
        <v>219660</v>
      </c>
      <c r="AJ258" s="16">
        <f>1080698+326000</f>
        <v>1406698</v>
      </c>
      <c r="AK258" s="16">
        <v>50461</v>
      </c>
      <c r="AL258" s="16">
        <v>55809</v>
      </c>
      <c r="AM258" s="16">
        <v>11582</v>
      </c>
      <c r="AN258" s="16">
        <v>77308</v>
      </c>
      <c r="AO258" s="16">
        <v>38306</v>
      </c>
      <c r="AP258" s="16"/>
      <c r="AQ258" s="16"/>
      <c r="AR258" s="16"/>
      <c r="AS258" s="16">
        <f>0+59742</f>
        <v>59742</v>
      </c>
      <c r="AT258" s="16"/>
      <c r="AU258" s="16">
        <v>149400</v>
      </c>
      <c r="AV258" s="16"/>
      <c r="AW258" s="16"/>
      <c r="AX258" s="16"/>
      <c r="AY258" s="16">
        <v>1583791</v>
      </c>
      <c r="AZ258" s="16"/>
      <c r="BA258" s="16"/>
      <c r="BB258" s="16">
        <f>575344+30009</f>
        <v>605353</v>
      </c>
      <c r="BC258" s="11">
        <f t="shared" si="584"/>
        <v>0</v>
      </c>
      <c r="BD258" s="11">
        <f t="shared" si="585"/>
        <v>0</v>
      </c>
      <c r="BE258" s="11">
        <v>0</v>
      </c>
      <c r="BF258" s="11">
        <v>0</v>
      </c>
      <c r="BG258" s="11">
        <v>0</v>
      </c>
      <c r="BH258" s="11">
        <f t="shared" si="521"/>
        <v>0</v>
      </c>
      <c r="BI258" s="11">
        <v>0</v>
      </c>
      <c r="BJ258" s="11">
        <v>0</v>
      </c>
      <c r="BK258" s="11">
        <v>0</v>
      </c>
      <c r="BL258" s="11">
        <v>0</v>
      </c>
      <c r="BM258" s="11">
        <v>0</v>
      </c>
      <c r="BN258" s="11">
        <f t="shared" si="522"/>
        <v>0</v>
      </c>
      <c r="BO258" s="11">
        <v>0</v>
      </c>
      <c r="BP258" s="11">
        <v>0</v>
      </c>
      <c r="BQ258" s="11">
        <f t="shared" si="523"/>
        <v>0</v>
      </c>
      <c r="BR258" s="11">
        <v>0</v>
      </c>
      <c r="BS258" s="11">
        <v>0</v>
      </c>
      <c r="BT258" s="11">
        <v>0</v>
      </c>
      <c r="BU258" s="11">
        <v>0</v>
      </c>
      <c r="BV258" s="11">
        <v>0</v>
      </c>
      <c r="BW258" s="11">
        <v>0</v>
      </c>
      <c r="BX258" s="11">
        <v>0</v>
      </c>
      <c r="BY258" s="11">
        <v>0</v>
      </c>
      <c r="BZ258" s="11">
        <v>0</v>
      </c>
      <c r="CA258" s="11">
        <v>0</v>
      </c>
      <c r="CB258" s="11">
        <v>0</v>
      </c>
      <c r="CC258" s="11">
        <f t="shared" si="586"/>
        <v>4586993</v>
      </c>
      <c r="CD258" s="11">
        <f t="shared" si="587"/>
        <v>4586993</v>
      </c>
      <c r="CE258" s="11">
        <f t="shared" si="524"/>
        <v>2621371</v>
      </c>
      <c r="CF258" s="16"/>
      <c r="CG258" s="16">
        <f>1682827+938544</f>
        <v>2621371</v>
      </c>
      <c r="CH258" s="11">
        <f t="shared" si="588"/>
        <v>1000000</v>
      </c>
      <c r="CI258" s="11">
        <v>0</v>
      </c>
      <c r="CJ258" s="11">
        <v>0</v>
      </c>
      <c r="CK258" s="11">
        <v>1000000</v>
      </c>
      <c r="CL258" s="11"/>
      <c r="CM258" s="11">
        <f t="shared" si="589"/>
        <v>965622</v>
      </c>
      <c r="CN258" s="16"/>
      <c r="CO258" s="11">
        <v>965622</v>
      </c>
      <c r="CP258" s="11"/>
      <c r="CQ258" s="11">
        <v>0</v>
      </c>
      <c r="CR258" s="11">
        <v>0</v>
      </c>
      <c r="CS258" s="11">
        <v>0</v>
      </c>
      <c r="CT258" s="11">
        <v>0</v>
      </c>
      <c r="CU258" s="11">
        <f t="shared" si="525"/>
        <v>0</v>
      </c>
      <c r="CV258" s="11">
        <f t="shared" si="526"/>
        <v>0</v>
      </c>
      <c r="CW258" s="11">
        <v>0</v>
      </c>
      <c r="CX258" s="12">
        <v>0</v>
      </c>
    </row>
    <row r="259" spans="1:102" ht="31.5" x14ac:dyDescent="0.25">
      <c r="A259" s="13" t="s">
        <v>1</v>
      </c>
      <c r="B259" s="14" t="s">
        <v>1</v>
      </c>
      <c r="C259" s="14" t="s">
        <v>94</v>
      </c>
      <c r="D259" s="15" t="s">
        <v>385</v>
      </c>
      <c r="E259" s="10">
        <f t="shared" si="578"/>
        <v>3141650</v>
      </c>
      <c r="F259" s="11">
        <f t="shared" si="579"/>
        <v>2492508</v>
      </c>
      <c r="G259" s="11">
        <f t="shared" si="580"/>
        <v>2492508</v>
      </c>
      <c r="H259" s="16">
        <f>961852-200000</f>
        <v>761852</v>
      </c>
      <c r="I259" s="16">
        <f>240464-50000</f>
        <v>190464</v>
      </c>
      <c r="J259" s="11">
        <f t="shared" si="581"/>
        <v>462408</v>
      </c>
      <c r="K259" s="16">
        <v>0</v>
      </c>
      <c r="L259" s="16">
        <v>0</v>
      </c>
      <c r="M259" s="16">
        <v>0</v>
      </c>
      <c r="N259" s="16">
        <v>0</v>
      </c>
      <c r="O259" s="16">
        <f>230698+15000+10000</f>
        <v>255698</v>
      </c>
      <c r="P259" s="16">
        <f>124727+61983+20000</f>
        <v>206710</v>
      </c>
      <c r="Q259" s="11">
        <f>SUM(R259:S259)</f>
        <v>55000</v>
      </c>
      <c r="R259" s="16">
        <v>0</v>
      </c>
      <c r="S259" s="16">
        <v>55000</v>
      </c>
      <c r="T259" s="16">
        <v>25000</v>
      </c>
      <c r="U259" s="16">
        <v>35120</v>
      </c>
      <c r="V259" s="11">
        <f t="shared" si="582"/>
        <v>49833</v>
      </c>
      <c r="W259" s="16">
        <v>0</v>
      </c>
      <c r="X259" s="16">
        <v>0</v>
      </c>
      <c r="Y259" s="16">
        <f>0+2405</f>
        <v>2405</v>
      </c>
      <c r="Z259" s="16">
        <f>0+1870</f>
        <v>1870</v>
      </c>
      <c r="AA259" s="16">
        <v>23200</v>
      </c>
      <c r="AB259" s="16">
        <f>0+20000</f>
        <v>20000</v>
      </c>
      <c r="AC259" s="16">
        <v>0</v>
      </c>
      <c r="AD259" s="16">
        <v>2358</v>
      </c>
      <c r="AE259" s="11"/>
      <c r="AF259" s="11">
        <f t="shared" si="583"/>
        <v>912831</v>
      </c>
      <c r="AG259" s="16">
        <f>480000+35000</f>
        <v>515000</v>
      </c>
      <c r="AH259" s="16"/>
      <c r="AI259" s="16">
        <v>21197</v>
      </c>
      <c r="AJ259" s="16">
        <v>55200</v>
      </c>
      <c r="AK259" s="16"/>
      <c r="AL259" s="16">
        <f>20267-10000</f>
        <v>10267</v>
      </c>
      <c r="AM259" s="16"/>
      <c r="AN259" s="16">
        <v>6900</v>
      </c>
      <c r="AO259" s="16">
        <v>29500</v>
      </c>
      <c r="AP259" s="16"/>
      <c r="AQ259" s="16"/>
      <c r="AR259" s="16"/>
      <c r="AS259" s="16"/>
      <c r="AT259" s="16"/>
      <c r="AU259" s="16">
        <f>12000+8000</f>
        <v>20000</v>
      </c>
      <c r="AV259" s="16"/>
      <c r="AW259" s="16"/>
      <c r="AX259" s="16"/>
      <c r="AY259" s="16"/>
      <c r="AZ259" s="16"/>
      <c r="BA259" s="16"/>
      <c r="BB259" s="16">
        <f>325412+9355-80000</f>
        <v>254767</v>
      </c>
      <c r="BC259" s="11">
        <f t="shared" si="584"/>
        <v>0</v>
      </c>
      <c r="BD259" s="11">
        <f t="shared" si="585"/>
        <v>0</v>
      </c>
      <c r="BE259" s="11">
        <v>0</v>
      </c>
      <c r="BF259" s="11">
        <v>0</v>
      </c>
      <c r="BG259" s="11">
        <v>0</v>
      </c>
      <c r="BH259" s="11">
        <f>SUM(BJ259:BK259)</f>
        <v>0</v>
      </c>
      <c r="BI259" s="11">
        <v>0</v>
      </c>
      <c r="BJ259" s="11">
        <v>0</v>
      </c>
      <c r="BK259" s="11">
        <v>0</v>
      </c>
      <c r="BL259" s="11">
        <v>0</v>
      </c>
      <c r="BM259" s="11">
        <v>0</v>
      </c>
      <c r="BN259" s="11">
        <f>SUM(BO259)</f>
        <v>0</v>
      </c>
      <c r="BO259" s="11">
        <v>0</v>
      </c>
      <c r="BP259" s="11">
        <v>0</v>
      </c>
      <c r="BQ259" s="11">
        <f>SUM(BR259:CB259)</f>
        <v>0</v>
      </c>
      <c r="BR259" s="11">
        <v>0</v>
      </c>
      <c r="BS259" s="11">
        <v>0</v>
      </c>
      <c r="BT259" s="11">
        <v>0</v>
      </c>
      <c r="BU259" s="11">
        <v>0</v>
      </c>
      <c r="BV259" s="11">
        <v>0</v>
      </c>
      <c r="BW259" s="11">
        <v>0</v>
      </c>
      <c r="BX259" s="11">
        <v>0</v>
      </c>
      <c r="BY259" s="11">
        <v>0</v>
      </c>
      <c r="BZ259" s="11">
        <v>0</v>
      </c>
      <c r="CA259" s="11">
        <v>0</v>
      </c>
      <c r="CB259" s="11">
        <v>0</v>
      </c>
      <c r="CC259" s="11">
        <f t="shared" si="586"/>
        <v>649142</v>
      </c>
      <c r="CD259" s="11">
        <f t="shared" si="587"/>
        <v>649142</v>
      </c>
      <c r="CE259" s="11">
        <f>SUM(CF259:CG259)</f>
        <v>272355</v>
      </c>
      <c r="CF259" s="16"/>
      <c r="CG259" s="16">
        <f>240000+17355+15000</f>
        <v>272355</v>
      </c>
      <c r="CH259" s="11">
        <f t="shared" si="588"/>
        <v>0</v>
      </c>
      <c r="CI259" s="11">
        <v>0</v>
      </c>
      <c r="CJ259" s="11">
        <v>0</v>
      </c>
      <c r="CK259" s="11">
        <v>0</v>
      </c>
      <c r="CL259" s="11">
        <v>0</v>
      </c>
      <c r="CM259" s="11">
        <f t="shared" si="589"/>
        <v>376787</v>
      </c>
      <c r="CN259" s="16">
        <f>116787+260000</f>
        <v>376787</v>
      </c>
      <c r="CO259" s="11">
        <v>0</v>
      </c>
      <c r="CP259" s="11"/>
      <c r="CQ259" s="11">
        <v>0</v>
      </c>
      <c r="CR259" s="11">
        <v>0</v>
      </c>
      <c r="CS259" s="11">
        <v>0</v>
      </c>
      <c r="CT259" s="11">
        <v>0</v>
      </c>
      <c r="CU259" s="11">
        <f>SUM(CV259)</f>
        <v>0</v>
      </c>
      <c r="CV259" s="11">
        <f>SUM(CW259:CX259)</f>
        <v>0</v>
      </c>
      <c r="CW259" s="11">
        <v>0</v>
      </c>
      <c r="CX259" s="12">
        <v>0</v>
      </c>
    </row>
    <row r="260" spans="1:102" ht="31.5" x14ac:dyDescent="0.25">
      <c r="A260" s="13" t="s">
        <v>1</v>
      </c>
      <c r="B260" s="14" t="s">
        <v>1</v>
      </c>
      <c r="C260" s="14" t="s">
        <v>94</v>
      </c>
      <c r="D260" s="15" t="s">
        <v>386</v>
      </c>
      <c r="E260" s="10">
        <f t="shared" si="578"/>
        <v>17231151</v>
      </c>
      <c r="F260" s="11">
        <f t="shared" si="579"/>
        <v>16182332</v>
      </c>
      <c r="G260" s="11">
        <f t="shared" si="580"/>
        <v>16182332</v>
      </c>
      <c r="H260" s="16">
        <f>6974229+350000</f>
        <v>7324229</v>
      </c>
      <c r="I260" s="16">
        <f>1741558+87500</f>
        <v>1829058</v>
      </c>
      <c r="J260" s="11">
        <f t="shared" si="581"/>
        <v>3434023</v>
      </c>
      <c r="K260" s="16">
        <v>1500000</v>
      </c>
      <c r="L260" s="16">
        <v>50000</v>
      </c>
      <c r="M260" s="16">
        <v>5000</v>
      </c>
      <c r="N260" s="16">
        <v>0</v>
      </c>
      <c r="O260" s="16">
        <f>967000+100000</f>
        <v>1067000</v>
      </c>
      <c r="P260" s="16">
        <f>772023+40000</f>
        <v>812023</v>
      </c>
      <c r="Q260" s="11">
        <f t="shared" si="519"/>
        <v>141526</v>
      </c>
      <c r="R260" s="16">
        <v>400</v>
      </c>
      <c r="S260" s="16">
        <v>141126</v>
      </c>
      <c r="T260" s="16">
        <v>0</v>
      </c>
      <c r="U260" s="16">
        <f>210227+80000</f>
        <v>290227</v>
      </c>
      <c r="V260" s="11">
        <f t="shared" si="582"/>
        <v>497882</v>
      </c>
      <c r="W260" s="16">
        <f>0+50000</f>
        <v>50000</v>
      </c>
      <c r="X260" s="16">
        <f>82596+53800+4629</f>
        <v>141025</v>
      </c>
      <c r="Y260" s="16">
        <f>99422+42000+4040</f>
        <v>145462</v>
      </c>
      <c r="Z260" s="16">
        <f>8975+10000+1297+3034</f>
        <v>23306</v>
      </c>
      <c r="AA260" s="16">
        <v>26818</v>
      </c>
      <c r="AB260" s="16">
        <v>50000</v>
      </c>
      <c r="AC260" s="16">
        <v>0</v>
      </c>
      <c r="AD260" s="16">
        <f>21271+40000</f>
        <v>61271</v>
      </c>
      <c r="AE260" s="11"/>
      <c r="AF260" s="11">
        <f t="shared" si="583"/>
        <v>2665387</v>
      </c>
      <c r="AG260" s="16"/>
      <c r="AH260" s="16"/>
      <c r="AI260" s="16">
        <f>170000+50000</f>
        <v>220000</v>
      </c>
      <c r="AJ260" s="16">
        <f>1195487+142944</f>
        <v>1338431</v>
      </c>
      <c r="AK260" s="16"/>
      <c r="AL260" s="16">
        <v>71562</v>
      </c>
      <c r="AM260" s="16"/>
      <c r="AN260" s="16">
        <v>71126</v>
      </c>
      <c r="AO260" s="16">
        <v>400000</v>
      </c>
      <c r="AP260" s="16"/>
      <c r="AQ260" s="16"/>
      <c r="AR260" s="16"/>
      <c r="AS260" s="16"/>
      <c r="AT260" s="16">
        <f>71589+50000</f>
        <v>121589</v>
      </c>
      <c r="AU260" s="16"/>
      <c r="AV260" s="16"/>
      <c r="AW260" s="16"/>
      <c r="AX260" s="16"/>
      <c r="AY260" s="16"/>
      <c r="AZ260" s="16"/>
      <c r="BA260" s="16"/>
      <c r="BB260" s="16">
        <f>455679-9966-3034</f>
        <v>442679</v>
      </c>
      <c r="BC260" s="11">
        <f t="shared" si="584"/>
        <v>0</v>
      </c>
      <c r="BD260" s="11">
        <f t="shared" si="585"/>
        <v>0</v>
      </c>
      <c r="BE260" s="11">
        <v>0</v>
      </c>
      <c r="BF260" s="11">
        <v>0</v>
      </c>
      <c r="BG260" s="11">
        <v>0</v>
      </c>
      <c r="BH260" s="11">
        <f t="shared" si="521"/>
        <v>0</v>
      </c>
      <c r="BI260" s="11">
        <v>0</v>
      </c>
      <c r="BJ260" s="11">
        <v>0</v>
      </c>
      <c r="BK260" s="11">
        <v>0</v>
      </c>
      <c r="BL260" s="11">
        <v>0</v>
      </c>
      <c r="BM260" s="11">
        <v>0</v>
      </c>
      <c r="BN260" s="11">
        <f t="shared" si="522"/>
        <v>0</v>
      </c>
      <c r="BO260" s="11">
        <v>0</v>
      </c>
      <c r="BP260" s="11">
        <v>0</v>
      </c>
      <c r="BQ260" s="11">
        <f t="shared" si="523"/>
        <v>0</v>
      </c>
      <c r="BR260" s="11">
        <v>0</v>
      </c>
      <c r="BS260" s="11">
        <v>0</v>
      </c>
      <c r="BT260" s="11">
        <v>0</v>
      </c>
      <c r="BU260" s="11">
        <v>0</v>
      </c>
      <c r="BV260" s="11">
        <v>0</v>
      </c>
      <c r="BW260" s="11">
        <v>0</v>
      </c>
      <c r="BX260" s="11">
        <v>0</v>
      </c>
      <c r="BY260" s="11">
        <v>0</v>
      </c>
      <c r="BZ260" s="11">
        <v>0</v>
      </c>
      <c r="CA260" s="11">
        <v>0</v>
      </c>
      <c r="CB260" s="11">
        <v>0</v>
      </c>
      <c r="CC260" s="11">
        <f t="shared" si="586"/>
        <v>1048819</v>
      </c>
      <c r="CD260" s="11">
        <f t="shared" si="587"/>
        <v>1048819</v>
      </c>
      <c r="CE260" s="11">
        <f t="shared" si="524"/>
        <v>988819</v>
      </c>
      <c r="CF260" s="16"/>
      <c r="CG260" s="16">
        <f>738819+250000</f>
        <v>988819</v>
      </c>
      <c r="CH260" s="11">
        <f t="shared" si="588"/>
        <v>0</v>
      </c>
      <c r="CI260" s="11">
        <v>0</v>
      </c>
      <c r="CJ260" s="11">
        <v>0</v>
      </c>
      <c r="CK260" s="11">
        <v>0</v>
      </c>
      <c r="CL260" s="11">
        <v>0</v>
      </c>
      <c r="CM260" s="11">
        <f t="shared" si="589"/>
        <v>60000</v>
      </c>
      <c r="CN260" s="16">
        <f>0+60000</f>
        <v>60000</v>
      </c>
      <c r="CO260" s="11">
        <v>0</v>
      </c>
      <c r="CP260" s="11"/>
      <c r="CQ260" s="11">
        <v>0</v>
      </c>
      <c r="CR260" s="11">
        <v>0</v>
      </c>
      <c r="CS260" s="11">
        <v>0</v>
      </c>
      <c r="CT260" s="11">
        <v>0</v>
      </c>
      <c r="CU260" s="11">
        <f t="shared" si="525"/>
        <v>0</v>
      </c>
      <c r="CV260" s="11">
        <f t="shared" si="526"/>
        <v>0</v>
      </c>
      <c r="CW260" s="11">
        <v>0</v>
      </c>
      <c r="CX260" s="12">
        <v>0</v>
      </c>
    </row>
    <row r="261" spans="1:102" ht="31.5" x14ac:dyDescent="0.25">
      <c r="A261" s="13" t="s">
        <v>1</v>
      </c>
      <c r="B261" s="14" t="s">
        <v>1</v>
      </c>
      <c r="C261" s="14" t="s">
        <v>94</v>
      </c>
      <c r="D261" s="15" t="s">
        <v>387</v>
      </c>
      <c r="E261" s="10">
        <f t="shared" si="578"/>
        <v>170478</v>
      </c>
      <c r="F261" s="11">
        <f t="shared" si="579"/>
        <v>165478</v>
      </c>
      <c r="G261" s="11">
        <f t="shared" si="580"/>
        <v>165478</v>
      </c>
      <c r="H261" s="16">
        <f>8000+12254</f>
        <v>20254</v>
      </c>
      <c r="I261" s="16">
        <f>2000+4084</f>
        <v>6084</v>
      </c>
      <c r="J261" s="11">
        <f t="shared" si="581"/>
        <v>86578</v>
      </c>
      <c r="K261" s="16">
        <v>0</v>
      </c>
      <c r="L261" s="16">
        <v>4379</v>
      </c>
      <c r="M261" s="16">
        <v>9960</v>
      </c>
      <c r="N261" s="16">
        <v>2500</v>
      </c>
      <c r="O261" s="16">
        <v>27784</v>
      </c>
      <c r="P261" s="16">
        <f>34506+7449</f>
        <v>41955</v>
      </c>
      <c r="Q261" s="11">
        <f>SUM(R261:S261)</f>
        <v>2345</v>
      </c>
      <c r="R261" s="16">
        <v>2345</v>
      </c>
      <c r="S261" s="16">
        <v>0</v>
      </c>
      <c r="T261" s="16">
        <v>0</v>
      </c>
      <c r="U261" s="16">
        <f>15052+3150</f>
        <v>18202</v>
      </c>
      <c r="V261" s="11">
        <f t="shared" si="582"/>
        <v>13243</v>
      </c>
      <c r="W261" s="16">
        <v>2000</v>
      </c>
      <c r="X261" s="16">
        <v>0</v>
      </c>
      <c r="Y261" s="16">
        <v>0</v>
      </c>
      <c r="Z261" s="16">
        <f>4247+612</f>
        <v>4859</v>
      </c>
      <c r="AA261" s="16">
        <v>1500</v>
      </c>
      <c r="AB261" s="16">
        <v>1440</v>
      </c>
      <c r="AC261" s="16">
        <v>0</v>
      </c>
      <c r="AD261" s="16">
        <v>3444</v>
      </c>
      <c r="AE261" s="11"/>
      <c r="AF261" s="11">
        <f t="shared" si="583"/>
        <v>18772</v>
      </c>
      <c r="AG261" s="16"/>
      <c r="AH261" s="16"/>
      <c r="AI261" s="16">
        <f>172+600</f>
        <v>772</v>
      </c>
      <c r="AJ261" s="16"/>
      <c r="AK261" s="16"/>
      <c r="AL261" s="16">
        <v>1592</v>
      </c>
      <c r="AM261" s="16"/>
      <c r="AN261" s="16">
        <v>1300</v>
      </c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>
        <f>0+3700</f>
        <v>3700</v>
      </c>
      <c r="BB261" s="16">
        <f>8408+3000</f>
        <v>11408</v>
      </c>
      <c r="BC261" s="11">
        <f t="shared" si="584"/>
        <v>0</v>
      </c>
      <c r="BD261" s="11">
        <f t="shared" si="585"/>
        <v>0</v>
      </c>
      <c r="BE261" s="11">
        <v>0</v>
      </c>
      <c r="BF261" s="11">
        <v>0</v>
      </c>
      <c r="BG261" s="11">
        <v>0</v>
      </c>
      <c r="BH261" s="11">
        <f>SUM(BJ261:BK261)</f>
        <v>0</v>
      </c>
      <c r="BI261" s="11">
        <v>0</v>
      </c>
      <c r="BJ261" s="11">
        <v>0</v>
      </c>
      <c r="BK261" s="11">
        <v>0</v>
      </c>
      <c r="BL261" s="11">
        <v>0</v>
      </c>
      <c r="BM261" s="11">
        <v>0</v>
      </c>
      <c r="BN261" s="11">
        <f>SUM(BO261)</f>
        <v>0</v>
      </c>
      <c r="BO261" s="11">
        <v>0</v>
      </c>
      <c r="BP261" s="11">
        <v>0</v>
      </c>
      <c r="BQ261" s="11">
        <f>SUM(BR261:CB261)</f>
        <v>0</v>
      </c>
      <c r="BR261" s="11">
        <v>0</v>
      </c>
      <c r="BS261" s="11">
        <v>0</v>
      </c>
      <c r="BT261" s="11">
        <v>0</v>
      </c>
      <c r="BU261" s="11">
        <v>0</v>
      </c>
      <c r="BV261" s="11">
        <v>0</v>
      </c>
      <c r="BW261" s="11">
        <v>0</v>
      </c>
      <c r="BX261" s="11">
        <v>0</v>
      </c>
      <c r="BY261" s="11">
        <v>0</v>
      </c>
      <c r="BZ261" s="11">
        <v>0</v>
      </c>
      <c r="CA261" s="11">
        <v>0</v>
      </c>
      <c r="CB261" s="11">
        <v>0</v>
      </c>
      <c r="CC261" s="11">
        <f t="shared" si="586"/>
        <v>5000</v>
      </c>
      <c r="CD261" s="11">
        <f t="shared" si="587"/>
        <v>5000</v>
      </c>
      <c r="CE261" s="11">
        <f>SUM(CF261:CG261)</f>
        <v>5000</v>
      </c>
      <c r="CF261" s="16"/>
      <c r="CG261" s="16">
        <v>5000</v>
      </c>
      <c r="CH261" s="11">
        <f t="shared" si="588"/>
        <v>0</v>
      </c>
      <c r="CI261" s="11">
        <v>0</v>
      </c>
      <c r="CJ261" s="11">
        <v>0</v>
      </c>
      <c r="CK261" s="11">
        <v>0</v>
      </c>
      <c r="CL261" s="11">
        <v>0</v>
      </c>
      <c r="CM261" s="11">
        <f t="shared" si="589"/>
        <v>0</v>
      </c>
      <c r="CN261" s="16"/>
      <c r="CO261" s="11">
        <v>0</v>
      </c>
      <c r="CP261" s="11"/>
      <c r="CQ261" s="11">
        <v>0</v>
      </c>
      <c r="CR261" s="11">
        <v>0</v>
      </c>
      <c r="CS261" s="11">
        <v>0</v>
      </c>
      <c r="CT261" s="11">
        <v>0</v>
      </c>
      <c r="CU261" s="11">
        <f>SUM(CV261)</f>
        <v>0</v>
      </c>
      <c r="CV261" s="11">
        <f>SUM(CW261:CX261)</f>
        <v>0</v>
      </c>
      <c r="CW261" s="11">
        <v>0</v>
      </c>
      <c r="CX261" s="12">
        <v>0</v>
      </c>
    </row>
    <row r="262" spans="1:102" ht="15.75" x14ac:dyDescent="0.25">
      <c r="A262" s="13" t="s">
        <v>1</v>
      </c>
      <c r="B262" s="14" t="s">
        <v>1</v>
      </c>
      <c r="C262" s="14" t="s">
        <v>388</v>
      </c>
      <c r="D262" s="15" t="s">
        <v>389</v>
      </c>
      <c r="E262" s="10">
        <f t="shared" si="578"/>
        <v>3329721</v>
      </c>
      <c r="F262" s="11">
        <f t="shared" si="579"/>
        <v>3100227</v>
      </c>
      <c r="G262" s="11">
        <f t="shared" si="580"/>
        <v>3100227</v>
      </c>
      <c r="H262" s="16">
        <v>1780000</v>
      </c>
      <c r="I262" s="16">
        <v>424860</v>
      </c>
      <c r="J262" s="11">
        <f t="shared" si="581"/>
        <v>470000</v>
      </c>
      <c r="K262" s="16">
        <v>0</v>
      </c>
      <c r="L262" s="16">
        <v>0</v>
      </c>
      <c r="M262" s="16">
        <v>0</v>
      </c>
      <c r="N262" s="16">
        <v>0</v>
      </c>
      <c r="O262" s="16">
        <v>120000</v>
      </c>
      <c r="P262" s="16">
        <f>250000+100000</f>
        <v>350000</v>
      </c>
      <c r="Q262" s="11">
        <f t="shared" si="519"/>
        <v>0</v>
      </c>
      <c r="R262" s="16">
        <v>0</v>
      </c>
      <c r="S262" s="16">
        <v>0</v>
      </c>
      <c r="T262" s="16">
        <v>0</v>
      </c>
      <c r="U262" s="16">
        <v>30000</v>
      </c>
      <c r="V262" s="11">
        <f t="shared" si="582"/>
        <v>82367</v>
      </c>
      <c r="W262" s="16">
        <v>0</v>
      </c>
      <c r="X262" s="16">
        <v>49631</v>
      </c>
      <c r="Y262" s="16">
        <v>22870</v>
      </c>
      <c r="Z262" s="16">
        <v>3866</v>
      </c>
      <c r="AA262" s="16">
        <v>6000</v>
      </c>
      <c r="AB262" s="16">
        <v>0</v>
      </c>
      <c r="AC262" s="16">
        <v>0</v>
      </c>
      <c r="AD262" s="16">
        <v>0</v>
      </c>
      <c r="AE262" s="11"/>
      <c r="AF262" s="11">
        <f t="shared" si="583"/>
        <v>313000</v>
      </c>
      <c r="AG262" s="16"/>
      <c r="AH262" s="16"/>
      <c r="AI262" s="16">
        <f>20000+20000</f>
        <v>40000</v>
      </c>
      <c r="AJ262" s="16">
        <v>80000</v>
      </c>
      <c r="AK262" s="16"/>
      <c r="AL262" s="16">
        <v>3000</v>
      </c>
      <c r="AM262" s="16"/>
      <c r="AN262" s="16">
        <v>15000</v>
      </c>
      <c r="AO262" s="16"/>
      <c r="AP262" s="16"/>
      <c r="AQ262" s="16"/>
      <c r="AR262" s="16"/>
      <c r="AS262" s="16"/>
      <c r="AT262" s="16"/>
      <c r="AU262" s="16">
        <f>5000+20000</f>
        <v>25000</v>
      </c>
      <c r="AV262" s="16"/>
      <c r="AW262" s="16"/>
      <c r="AX262" s="16"/>
      <c r="AY262" s="16"/>
      <c r="AZ262" s="16"/>
      <c r="BA262" s="16"/>
      <c r="BB262" s="16">
        <f>50000+100000</f>
        <v>150000</v>
      </c>
      <c r="BC262" s="11">
        <f t="shared" si="584"/>
        <v>0</v>
      </c>
      <c r="BD262" s="11">
        <f t="shared" si="585"/>
        <v>0</v>
      </c>
      <c r="BE262" s="11">
        <v>0</v>
      </c>
      <c r="BF262" s="11">
        <v>0</v>
      </c>
      <c r="BG262" s="11">
        <v>0</v>
      </c>
      <c r="BH262" s="11">
        <f t="shared" si="521"/>
        <v>0</v>
      </c>
      <c r="BI262" s="11">
        <v>0</v>
      </c>
      <c r="BJ262" s="11">
        <v>0</v>
      </c>
      <c r="BK262" s="11">
        <v>0</v>
      </c>
      <c r="BL262" s="11">
        <v>0</v>
      </c>
      <c r="BM262" s="11">
        <v>0</v>
      </c>
      <c r="BN262" s="11">
        <f t="shared" si="522"/>
        <v>0</v>
      </c>
      <c r="BO262" s="11">
        <v>0</v>
      </c>
      <c r="BP262" s="11">
        <v>0</v>
      </c>
      <c r="BQ262" s="11">
        <f t="shared" si="523"/>
        <v>0</v>
      </c>
      <c r="BR262" s="11">
        <v>0</v>
      </c>
      <c r="BS262" s="11">
        <v>0</v>
      </c>
      <c r="BT262" s="11">
        <v>0</v>
      </c>
      <c r="BU262" s="11">
        <v>0</v>
      </c>
      <c r="BV262" s="11">
        <v>0</v>
      </c>
      <c r="BW262" s="11">
        <v>0</v>
      </c>
      <c r="BX262" s="11">
        <v>0</v>
      </c>
      <c r="BY262" s="11">
        <v>0</v>
      </c>
      <c r="BZ262" s="11">
        <v>0</v>
      </c>
      <c r="CA262" s="11">
        <v>0</v>
      </c>
      <c r="CB262" s="11">
        <v>0</v>
      </c>
      <c r="CC262" s="11">
        <f t="shared" si="586"/>
        <v>229494</v>
      </c>
      <c r="CD262" s="11">
        <f t="shared" si="587"/>
        <v>229494</v>
      </c>
      <c r="CE262" s="11">
        <f t="shared" si="524"/>
        <v>229494</v>
      </c>
      <c r="CF262" s="16"/>
      <c r="CG262" s="16">
        <f>39773+189721</f>
        <v>229494</v>
      </c>
      <c r="CH262" s="11">
        <f t="shared" si="588"/>
        <v>0</v>
      </c>
      <c r="CI262" s="11">
        <v>0</v>
      </c>
      <c r="CJ262" s="11">
        <v>0</v>
      </c>
      <c r="CK262" s="11">
        <v>0</v>
      </c>
      <c r="CL262" s="11">
        <v>0</v>
      </c>
      <c r="CM262" s="11">
        <f t="shared" si="589"/>
        <v>0</v>
      </c>
      <c r="CN262" s="16"/>
      <c r="CO262" s="11">
        <v>0</v>
      </c>
      <c r="CP262" s="11"/>
      <c r="CQ262" s="11">
        <v>0</v>
      </c>
      <c r="CR262" s="11">
        <v>0</v>
      </c>
      <c r="CS262" s="11">
        <v>0</v>
      </c>
      <c r="CT262" s="11">
        <v>0</v>
      </c>
      <c r="CU262" s="11">
        <f t="shared" si="525"/>
        <v>0</v>
      </c>
      <c r="CV262" s="11">
        <f t="shared" si="526"/>
        <v>0</v>
      </c>
      <c r="CW262" s="11">
        <v>0</v>
      </c>
      <c r="CX262" s="12">
        <v>0</v>
      </c>
    </row>
    <row r="263" spans="1:102" ht="31.5" x14ac:dyDescent="0.25">
      <c r="A263" s="13" t="s">
        <v>1</v>
      </c>
      <c r="B263" s="14" t="s">
        <v>1</v>
      </c>
      <c r="C263" s="14" t="s">
        <v>208</v>
      </c>
      <c r="D263" s="15" t="s">
        <v>475</v>
      </c>
      <c r="E263" s="10">
        <f t="shared" si="578"/>
        <v>7500000</v>
      </c>
      <c r="F263" s="11">
        <f t="shared" si="579"/>
        <v>7500000</v>
      </c>
      <c r="G263" s="11">
        <f t="shared" si="580"/>
        <v>7500000</v>
      </c>
      <c r="H263" s="16"/>
      <c r="I263" s="16"/>
      <c r="J263" s="11">
        <f t="shared" si="581"/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1">
        <f>SUM(R263:S263)</f>
        <v>0</v>
      </c>
      <c r="R263" s="16">
        <v>0</v>
      </c>
      <c r="S263" s="16">
        <v>0</v>
      </c>
      <c r="T263" s="16">
        <v>0</v>
      </c>
      <c r="U263" s="16">
        <v>0</v>
      </c>
      <c r="V263" s="11">
        <f t="shared" si="582"/>
        <v>0</v>
      </c>
      <c r="W263" s="16">
        <v>0</v>
      </c>
      <c r="X263" s="16"/>
      <c r="Y263" s="16">
        <v>0</v>
      </c>
      <c r="Z263" s="16"/>
      <c r="AA263" s="16"/>
      <c r="AB263" s="16">
        <v>0</v>
      </c>
      <c r="AC263" s="16">
        <v>0</v>
      </c>
      <c r="AD263" s="16">
        <v>0</v>
      </c>
      <c r="AE263" s="11"/>
      <c r="AF263" s="11">
        <f t="shared" si="583"/>
        <v>7500000</v>
      </c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>
        <v>7500000</v>
      </c>
      <c r="BC263" s="11">
        <f t="shared" si="584"/>
        <v>0</v>
      </c>
      <c r="BD263" s="11">
        <f t="shared" si="585"/>
        <v>0</v>
      </c>
      <c r="BE263" s="11">
        <v>0</v>
      </c>
      <c r="BF263" s="11">
        <v>0</v>
      </c>
      <c r="BG263" s="11">
        <v>0</v>
      </c>
      <c r="BH263" s="11">
        <f>SUM(BJ263:BK263)</f>
        <v>0</v>
      </c>
      <c r="BI263" s="11">
        <v>0</v>
      </c>
      <c r="BJ263" s="11">
        <v>0</v>
      </c>
      <c r="BK263" s="11">
        <v>0</v>
      </c>
      <c r="BL263" s="11">
        <v>0</v>
      </c>
      <c r="BM263" s="11">
        <v>0</v>
      </c>
      <c r="BN263" s="11">
        <f>SUM(BO263)</f>
        <v>0</v>
      </c>
      <c r="BO263" s="11">
        <v>0</v>
      </c>
      <c r="BP263" s="11">
        <v>0</v>
      </c>
      <c r="BQ263" s="11">
        <f>SUM(BR263:CB263)</f>
        <v>0</v>
      </c>
      <c r="BR263" s="11">
        <v>0</v>
      </c>
      <c r="BS263" s="11">
        <v>0</v>
      </c>
      <c r="BT263" s="11">
        <v>0</v>
      </c>
      <c r="BU263" s="11">
        <v>0</v>
      </c>
      <c r="BV263" s="11">
        <v>0</v>
      </c>
      <c r="BW263" s="11">
        <v>0</v>
      </c>
      <c r="BX263" s="11">
        <v>0</v>
      </c>
      <c r="BY263" s="11">
        <v>0</v>
      </c>
      <c r="BZ263" s="11">
        <v>0</v>
      </c>
      <c r="CA263" s="11">
        <v>0</v>
      </c>
      <c r="CB263" s="11">
        <v>0</v>
      </c>
      <c r="CC263" s="11">
        <f t="shared" si="586"/>
        <v>0</v>
      </c>
      <c r="CD263" s="11">
        <f t="shared" si="587"/>
        <v>0</v>
      </c>
      <c r="CE263" s="11">
        <f>SUM(CF263:CG263)</f>
        <v>0</v>
      </c>
      <c r="CF263" s="16"/>
      <c r="CG263" s="16"/>
      <c r="CH263" s="11">
        <f t="shared" si="588"/>
        <v>0</v>
      </c>
      <c r="CI263" s="11">
        <v>0</v>
      </c>
      <c r="CJ263" s="11">
        <v>0</v>
      </c>
      <c r="CK263" s="11">
        <v>0</v>
      </c>
      <c r="CL263" s="11">
        <v>0</v>
      </c>
      <c r="CM263" s="11">
        <f t="shared" si="589"/>
        <v>0</v>
      </c>
      <c r="CN263" s="16"/>
      <c r="CO263" s="11">
        <v>0</v>
      </c>
      <c r="CP263" s="11"/>
      <c r="CQ263" s="11">
        <v>0</v>
      </c>
      <c r="CR263" s="11">
        <v>0</v>
      </c>
      <c r="CS263" s="11">
        <v>0</v>
      </c>
      <c r="CT263" s="11">
        <v>0</v>
      </c>
      <c r="CU263" s="11">
        <f>SUM(CV263)</f>
        <v>0</v>
      </c>
      <c r="CV263" s="11">
        <f>SUM(CW263:CX263)</f>
        <v>0</v>
      </c>
      <c r="CW263" s="11">
        <v>0</v>
      </c>
      <c r="CX263" s="12">
        <v>0</v>
      </c>
    </row>
    <row r="264" spans="1:102" ht="15.75" x14ac:dyDescent="0.25">
      <c r="A264" s="13" t="s">
        <v>1</v>
      </c>
      <c r="B264" s="14" t="s">
        <v>1</v>
      </c>
      <c r="C264" s="14" t="s">
        <v>208</v>
      </c>
      <c r="D264" s="15" t="s">
        <v>390</v>
      </c>
      <c r="E264" s="10">
        <f t="shared" si="578"/>
        <v>48342721</v>
      </c>
      <c r="F264" s="11">
        <f t="shared" si="579"/>
        <v>42853456</v>
      </c>
      <c r="G264" s="11">
        <f t="shared" si="580"/>
        <v>42848456</v>
      </c>
      <c r="H264" s="16">
        <v>25635014</v>
      </c>
      <c r="I264" s="16">
        <v>6408754</v>
      </c>
      <c r="J264" s="11">
        <f t="shared" si="581"/>
        <v>3161850</v>
      </c>
      <c r="K264" s="16">
        <v>34000</v>
      </c>
      <c r="L264" s="16">
        <v>150000</v>
      </c>
      <c r="M264" s="16">
        <f>579500-215000</f>
        <v>364500</v>
      </c>
      <c r="N264" s="16">
        <v>0</v>
      </c>
      <c r="O264" s="16">
        <f>912508+15000</f>
        <v>927508</v>
      </c>
      <c r="P264" s="16">
        <v>1685842</v>
      </c>
      <c r="Q264" s="11">
        <f t="shared" si="519"/>
        <v>235500</v>
      </c>
      <c r="R264" s="16">
        <v>30500</v>
      </c>
      <c r="S264" s="16">
        <v>205000</v>
      </c>
      <c r="T264" s="16">
        <v>0</v>
      </c>
      <c r="U264" s="16">
        <v>334400</v>
      </c>
      <c r="V264" s="11">
        <f t="shared" si="582"/>
        <v>3551867</v>
      </c>
      <c r="W264" s="16">
        <v>491739</v>
      </c>
      <c r="X264" s="16">
        <f>1520876+422788</f>
        <v>1943664</v>
      </c>
      <c r="Y264" s="16">
        <f>478299+90000</f>
        <v>568299</v>
      </c>
      <c r="Z264" s="16">
        <f>239429+10352</f>
        <v>249781</v>
      </c>
      <c r="AA264" s="16">
        <f>133124+5000</f>
        <v>138124</v>
      </c>
      <c r="AB264" s="16">
        <v>160000</v>
      </c>
      <c r="AC264" s="16">
        <v>0</v>
      </c>
      <c r="AD264" s="16">
        <v>260</v>
      </c>
      <c r="AE264" s="11"/>
      <c r="AF264" s="11">
        <f t="shared" si="583"/>
        <v>3521071</v>
      </c>
      <c r="AG264" s="16"/>
      <c r="AH264" s="16"/>
      <c r="AI264" s="16">
        <v>307000</v>
      </c>
      <c r="AJ264" s="16">
        <f>555000+2208</f>
        <v>557208</v>
      </c>
      <c r="AK264" s="16">
        <f>667717+20000</f>
        <v>687717</v>
      </c>
      <c r="AL264" s="16">
        <v>320530</v>
      </c>
      <c r="AM264" s="16"/>
      <c r="AN264" s="16">
        <v>228000</v>
      </c>
      <c r="AO264" s="16">
        <v>469000</v>
      </c>
      <c r="AP264" s="16"/>
      <c r="AQ264" s="16">
        <v>17850</v>
      </c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>
        <v>933766</v>
      </c>
      <c r="BC264" s="11">
        <f t="shared" si="584"/>
        <v>5000</v>
      </c>
      <c r="BD264" s="11">
        <f t="shared" si="585"/>
        <v>0</v>
      </c>
      <c r="BE264" s="11">
        <v>0</v>
      </c>
      <c r="BF264" s="11">
        <v>0</v>
      </c>
      <c r="BG264" s="11">
        <v>0</v>
      </c>
      <c r="BH264" s="11">
        <f t="shared" si="521"/>
        <v>0</v>
      </c>
      <c r="BI264" s="11">
        <v>0</v>
      </c>
      <c r="BJ264" s="11">
        <v>0</v>
      </c>
      <c r="BK264" s="11">
        <v>0</v>
      </c>
      <c r="BL264" s="11">
        <v>0</v>
      </c>
      <c r="BM264" s="11">
        <v>0</v>
      </c>
      <c r="BN264" s="11">
        <f t="shared" si="522"/>
        <v>0</v>
      </c>
      <c r="BO264" s="11">
        <v>0</v>
      </c>
      <c r="BP264" s="11">
        <v>0</v>
      </c>
      <c r="BQ264" s="11">
        <f t="shared" si="523"/>
        <v>5000</v>
      </c>
      <c r="BR264" s="11">
        <v>0</v>
      </c>
      <c r="BS264" s="11">
        <v>0</v>
      </c>
      <c r="BT264" s="11">
        <v>5000</v>
      </c>
      <c r="BU264" s="11">
        <v>0</v>
      </c>
      <c r="BV264" s="11">
        <v>0</v>
      </c>
      <c r="BW264" s="11">
        <v>0</v>
      </c>
      <c r="BX264" s="11">
        <v>0</v>
      </c>
      <c r="BY264" s="11">
        <v>0</v>
      </c>
      <c r="BZ264" s="11">
        <v>0</v>
      </c>
      <c r="CA264" s="11">
        <v>0</v>
      </c>
      <c r="CB264" s="11">
        <v>0</v>
      </c>
      <c r="CC264" s="11">
        <f t="shared" si="586"/>
        <v>5489265</v>
      </c>
      <c r="CD264" s="11">
        <f t="shared" si="587"/>
        <v>5489265</v>
      </c>
      <c r="CE264" s="11">
        <f t="shared" si="524"/>
        <v>2736860</v>
      </c>
      <c r="CF264" s="16"/>
      <c r="CG264" s="16">
        <v>2736860</v>
      </c>
      <c r="CH264" s="11">
        <f t="shared" si="588"/>
        <v>0</v>
      </c>
      <c r="CI264" s="11">
        <v>0</v>
      </c>
      <c r="CJ264" s="11">
        <v>0</v>
      </c>
      <c r="CK264" s="11">
        <v>0</v>
      </c>
      <c r="CL264" s="11">
        <v>0</v>
      </c>
      <c r="CM264" s="11">
        <f t="shared" si="589"/>
        <v>2752405</v>
      </c>
      <c r="CN264" s="16">
        <f>2755860+86545-90000</f>
        <v>2752405</v>
      </c>
      <c r="CO264" s="11">
        <v>0</v>
      </c>
      <c r="CP264" s="11"/>
      <c r="CQ264" s="11">
        <v>0</v>
      </c>
      <c r="CR264" s="11"/>
      <c r="CS264" s="11"/>
      <c r="CT264" s="11">
        <v>0</v>
      </c>
      <c r="CU264" s="11">
        <f t="shared" si="525"/>
        <v>0</v>
      </c>
      <c r="CV264" s="11">
        <f t="shared" si="526"/>
        <v>0</v>
      </c>
      <c r="CW264" s="11">
        <v>0</v>
      </c>
      <c r="CX264" s="12">
        <v>0</v>
      </c>
    </row>
    <row r="265" spans="1:102" ht="15.75" x14ac:dyDescent="0.25">
      <c r="A265" s="13" t="s">
        <v>1</v>
      </c>
      <c r="B265" s="14" t="s">
        <v>1</v>
      </c>
      <c r="C265" s="14" t="s">
        <v>172</v>
      </c>
      <c r="D265" s="15" t="s">
        <v>391</v>
      </c>
      <c r="E265" s="10">
        <f t="shared" si="578"/>
        <v>1700000</v>
      </c>
      <c r="F265" s="11">
        <f t="shared" si="579"/>
        <v>1600000</v>
      </c>
      <c r="G265" s="11">
        <f t="shared" si="580"/>
        <v>1600000</v>
      </c>
      <c r="H265" s="16"/>
      <c r="I265" s="16"/>
      <c r="J265" s="11">
        <f t="shared" si="581"/>
        <v>480000</v>
      </c>
      <c r="K265" s="16">
        <v>0</v>
      </c>
      <c r="L265" s="16">
        <v>80000</v>
      </c>
      <c r="M265" s="16">
        <v>0</v>
      </c>
      <c r="N265" s="16">
        <v>0</v>
      </c>
      <c r="O265" s="16">
        <v>100000</v>
      </c>
      <c r="P265" s="16">
        <v>300000</v>
      </c>
      <c r="Q265" s="11">
        <f t="shared" si="519"/>
        <v>0</v>
      </c>
      <c r="R265" s="16">
        <v>0</v>
      </c>
      <c r="S265" s="16">
        <v>0</v>
      </c>
      <c r="T265" s="16">
        <v>0</v>
      </c>
      <c r="U265" s="16">
        <v>50000</v>
      </c>
      <c r="V265" s="11">
        <f t="shared" si="582"/>
        <v>19958</v>
      </c>
      <c r="W265" s="16">
        <v>4550</v>
      </c>
      <c r="X265" s="16">
        <v>5263</v>
      </c>
      <c r="Y265" s="16">
        <v>5014</v>
      </c>
      <c r="Z265" s="16">
        <v>4396</v>
      </c>
      <c r="AA265" s="16">
        <v>656</v>
      </c>
      <c r="AB265" s="16">
        <v>0</v>
      </c>
      <c r="AC265" s="16">
        <v>0</v>
      </c>
      <c r="AD265" s="16">
        <v>79</v>
      </c>
      <c r="AE265" s="11"/>
      <c r="AF265" s="11">
        <f t="shared" si="583"/>
        <v>1050042</v>
      </c>
      <c r="AG265" s="16"/>
      <c r="AH265" s="16"/>
      <c r="AI265" s="16">
        <v>50000</v>
      </c>
      <c r="AJ265" s="16">
        <v>246822</v>
      </c>
      <c r="AK265" s="16"/>
      <c r="AL265" s="16">
        <v>1600</v>
      </c>
      <c r="AM265" s="16"/>
      <c r="AN265" s="16"/>
      <c r="AO265" s="16"/>
      <c r="AP265" s="16">
        <v>10000</v>
      </c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>
        <v>391620</v>
      </c>
      <c r="BB265" s="16">
        <v>350000</v>
      </c>
      <c r="BC265" s="11">
        <f t="shared" si="584"/>
        <v>0</v>
      </c>
      <c r="BD265" s="11">
        <f t="shared" si="585"/>
        <v>0</v>
      </c>
      <c r="BE265" s="11">
        <v>0</v>
      </c>
      <c r="BF265" s="11">
        <v>0</v>
      </c>
      <c r="BG265" s="11">
        <v>0</v>
      </c>
      <c r="BH265" s="11">
        <f t="shared" si="521"/>
        <v>0</v>
      </c>
      <c r="BI265" s="11">
        <v>0</v>
      </c>
      <c r="BJ265" s="11">
        <v>0</v>
      </c>
      <c r="BK265" s="11">
        <v>0</v>
      </c>
      <c r="BL265" s="11">
        <v>0</v>
      </c>
      <c r="BM265" s="11">
        <v>0</v>
      </c>
      <c r="BN265" s="11">
        <f t="shared" si="522"/>
        <v>0</v>
      </c>
      <c r="BO265" s="11">
        <v>0</v>
      </c>
      <c r="BP265" s="11">
        <v>0</v>
      </c>
      <c r="BQ265" s="11">
        <f t="shared" si="523"/>
        <v>0</v>
      </c>
      <c r="BR265" s="11">
        <v>0</v>
      </c>
      <c r="BS265" s="11">
        <v>0</v>
      </c>
      <c r="BT265" s="11">
        <v>0</v>
      </c>
      <c r="BU265" s="11">
        <v>0</v>
      </c>
      <c r="BV265" s="11">
        <v>0</v>
      </c>
      <c r="BW265" s="11">
        <v>0</v>
      </c>
      <c r="BX265" s="11">
        <v>0</v>
      </c>
      <c r="BY265" s="11">
        <v>0</v>
      </c>
      <c r="BZ265" s="11">
        <v>0</v>
      </c>
      <c r="CA265" s="11">
        <v>0</v>
      </c>
      <c r="CB265" s="11">
        <v>0</v>
      </c>
      <c r="CC265" s="11">
        <f t="shared" si="586"/>
        <v>100000</v>
      </c>
      <c r="CD265" s="11">
        <f t="shared" si="587"/>
        <v>100000</v>
      </c>
      <c r="CE265" s="11">
        <f t="shared" si="524"/>
        <v>100000</v>
      </c>
      <c r="CF265" s="16"/>
      <c r="CG265" s="16">
        <v>100000</v>
      </c>
      <c r="CH265" s="11">
        <f t="shared" si="588"/>
        <v>0</v>
      </c>
      <c r="CI265" s="11">
        <v>0</v>
      </c>
      <c r="CJ265" s="11">
        <v>0</v>
      </c>
      <c r="CK265" s="11">
        <v>0</v>
      </c>
      <c r="CL265" s="11">
        <v>0</v>
      </c>
      <c r="CM265" s="11">
        <f t="shared" si="589"/>
        <v>0</v>
      </c>
      <c r="CN265" s="16"/>
      <c r="CO265" s="11">
        <v>0</v>
      </c>
      <c r="CP265" s="11"/>
      <c r="CQ265" s="11">
        <v>0</v>
      </c>
      <c r="CR265" s="11">
        <v>0</v>
      </c>
      <c r="CS265" s="11">
        <v>0</v>
      </c>
      <c r="CT265" s="11">
        <v>0</v>
      </c>
      <c r="CU265" s="11">
        <f t="shared" si="525"/>
        <v>0</v>
      </c>
      <c r="CV265" s="11">
        <f t="shared" si="526"/>
        <v>0</v>
      </c>
      <c r="CW265" s="11">
        <v>0</v>
      </c>
      <c r="CX265" s="12">
        <v>0</v>
      </c>
    </row>
    <row r="266" spans="1:102" ht="31.5" customHeight="1" x14ac:dyDescent="0.25">
      <c r="A266" s="13" t="s">
        <v>1</v>
      </c>
      <c r="B266" s="14" t="s">
        <v>1</v>
      </c>
      <c r="C266" s="14" t="s">
        <v>174</v>
      </c>
      <c r="D266" s="15" t="s">
        <v>392</v>
      </c>
      <c r="E266" s="10">
        <f t="shared" si="578"/>
        <v>7774389</v>
      </c>
      <c r="F266" s="11">
        <f t="shared" si="579"/>
        <v>7142163</v>
      </c>
      <c r="G266" s="11">
        <f t="shared" si="580"/>
        <v>7142163</v>
      </c>
      <c r="H266" s="16">
        <v>773073</v>
      </c>
      <c r="I266" s="16">
        <v>167487</v>
      </c>
      <c r="J266" s="11">
        <f t="shared" si="581"/>
        <v>3731362</v>
      </c>
      <c r="K266" s="16">
        <v>60287</v>
      </c>
      <c r="L266" s="16">
        <v>15840</v>
      </c>
      <c r="M266" s="16">
        <v>115440</v>
      </c>
      <c r="N266" s="16">
        <v>0</v>
      </c>
      <c r="O266" s="16">
        <f>920926+55000</f>
        <v>975926</v>
      </c>
      <c r="P266" s="16">
        <f>2330062+233807</f>
        <v>2563869</v>
      </c>
      <c r="Q266" s="11">
        <f t="shared" si="519"/>
        <v>2000</v>
      </c>
      <c r="R266" s="16">
        <v>2000</v>
      </c>
      <c r="S266" s="16">
        <v>0</v>
      </c>
      <c r="T266" s="16">
        <v>0</v>
      </c>
      <c r="U266" s="16">
        <v>15000</v>
      </c>
      <c r="V266" s="11">
        <f t="shared" si="582"/>
        <v>579254</v>
      </c>
      <c r="W266" s="16">
        <f>89600+248937-5138</f>
        <v>333399</v>
      </c>
      <c r="X266" s="16">
        <v>0</v>
      </c>
      <c r="Y266" s="16">
        <f>65487+6034</f>
        <v>71521</v>
      </c>
      <c r="Z266" s="16">
        <v>41092</v>
      </c>
      <c r="AA266" s="16">
        <v>59379</v>
      </c>
      <c r="AB266" s="16">
        <v>0</v>
      </c>
      <c r="AC266" s="16">
        <v>0</v>
      </c>
      <c r="AD266" s="16">
        <f>63712+5013+5138</f>
        <v>73863</v>
      </c>
      <c r="AE266" s="11"/>
      <c r="AF266" s="11">
        <f t="shared" si="583"/>
        <v>1873987</v>
      </c>
      <c r="AG266" s="16"/>
      <c r="AH266" s="16"/>
      <c r="AI266" s="16">
        <v>43000</v>
      </c>
      <c r="AJ266" s="16">
        <f>441816+502352</f>
        <v>944168</v>
      </c>
      <c r="AK266" s="16"/>
      <c r="AL266" s="16">
        <v>13350</v>
      </c>
      <c r="AM266" s="16">
        <v>5000</v>
      </c>
      <c r="AN266" s="16"/>
      <c r="AO266" s="16">
        <v>18100</v>
      </c>
      <c r="AP266" s="16"/>
      <c r="AQ266" s="16">
        <v>500</v>
      </c>
      <c r="AR266" s="16"/>
      <c r="AS266" s="16">
        <v>8000</v>
      </c>
      <c r="AT266" s="16"/>
      <c r="AU266" s="16"/>
      <c r="AV266" s="16"/>
      <c r="AW266" s="16"/>
      <c r="AX266" s="16"/>
      <c r="AY266" s="16">
        <v>3895</v>
      </c>
      <c r="AZ266" s="16"/>
      <c r="BA266" s="16"/>
      <c r="BB266" s="16">
        <v>837974</v>
      </c>
      <c r="BC266" s="11">
        <f t="shared" si="584"/>
        <v>0</v>
      </c>
      <c r="BD266" s="11">
        <f t="shared" si="585"/>
        <v>0</v>
      </c>
      <c r="BE266" s="11">
        <v>0</v>
      </c>
      <c r="BF266" s="11">
        <v>0</v>
      </c>
      <c r="BG266" s="11">
        <v>0</v>
      </c>
      <c r="BH266" s="11">
        <f t="shared" si="521"/>
        <v>0</v>
      </c>
      <c r="BI266" s="11">
        <v>0</v>
      </c>
      <c r="BJ266" s="11">
        <v>0</v>
      </c>
      <c r="BK266" s="11">
        <v>0</v>
      </c>
      <c r="BL266" s="11">
        <v>0</v>
      </c>
      <c r="BM266" s="11">
        <v>0</v>
      </c>
      <c r="BN266" s="11">
        <f t="shared" si="522"/>
        <v>0</v>
      </c>
      <c r="BO266" s="11">
        <v>0</v>
      </c>
      <c r="BP266" s="11">
        <v>0</v>
      </c>
      <c r="BQ266" s="11">
        <f t="shared" si="523"/>
        <v>0</v>
      </c>
      <c r="BR266" s="11">
        <v>0</v>
      </c>
      <c r="BS266" s="11">
        <v>0</v>
      </c>
      <c r="BT266" s="11">
        <v>0</v>
      </c>
      <c r="BU266" s="11">
        <v>0</v>
      </c>
      <c r="BV266" s="11">
        <v>0</v>
      </c>
      <c r="BW266" s="11">
        <v>0</v>
      </c>
      <c r="BX266" s="11">
        <v>0</v>
      </c>
      <c r="BY266" s="11">
        <v>0</v>
      </c>
      <c r="BZ266" s="11">
        <v>0</v>
      </c>
      <c r="CA266" s="11">
        <v>0</v>
      </c>
      <c r="CB266" s="11">
        <v>0</v>
      </c>
      <c r="CC266" s="11">
        <f t="shared" si="586"/>
        <v>632226</v>
      </c>
      <c r="CD266" s="11">
        <f t="shared" si="587"/>
        <v>632226</v>
      </c>
      <c r="CE266" s="11">
        <f t="shared" si="524"/>
        <v>632226</v>
      </c>
      <c r="CF266" s="16">
        <f>195000+113846</f>
        <v>308846</v>
      </c>
      <c r="CG266" s="16">
        <v>323380</v>
      </c>
      <c r="CH266" s="11">
        <f t="shared" si="588"/>
        <v>0</v>
      </c>
      <c r="CI266" s="11">
        <v>0</v>
      </c>
      <c r="CJ266" s="11">
        <v>0</v>
      </c>
      <c r="CK266" s="11">
        <v>0</v>
      </c>
      <c r="CL266" s="11">
        <v>0</v>
      </c>
      <c r="CM266" s="11">
        <f t="shared" si="589"/>
        <v>0</v>
      </c>
      <c r="CN266" s="16"/>
      <c r="CO266" s="11">
        <v>0</v>
      </c>
      <c r="CP266" s="11"/>
      <c r="CQ266" s="11">
        <v>0</v>
      </c>
      <c r="CR266" s="11">
        <v>0</v>
      </c>
      <c r="CS266" s="11">
        <v>0</v>
      </c>
      <c r="CT266" s="11">
        <v>0</v>
      </c>
      <c r="CU266" s="11">
        <f t="shared" si="525"/>
        <v>0</v>
      </c>
      <c r="CV266" s="11">
        <f t="shared" si="526"/>
        <v>0</v>
      </c>
      <c r="CW266" s="11">
        <v>0</v>
      </c>
      <c r="CX266" s="12">
        <v>0</v>
      </c>
    </row>
    <row r="267" spans="1:102" ht="15.75" x14ac:dyDescent="0.25">
      <c r="A267" s="13" t="s">
        <v>1</v>
      </c>
      <c r="B267" s="14" t="s">
        <v>1</v>
      </c>
      <c r="C267" s="14" t="s">
        <v>96</v>
      </c>
      <c r="D267" s="15" t="s">
        <v>393</v>
      </c>
      <c r="E267" s="10">
        <f t="shared" si="578"/>
        <v>876590</v>
      </c>
      <c r="F267" s="11">
        <f t="shared" si="579"/>
        <v>793046</v>
      </c>
      <c r="G267" s="11">
        <f t="shared" si="580"/>
        <v>793046</v>
      </c>
      <c r="H267" s="16">
        <v>93136</v>
      </c>
      <c r="I267" s="16">
        <v>23284</v>
      </c>
      <c r="J267" s="11">
        <f t="shared" si="581"/>
        <v>388805</v>
      </c>
      <c r="K267" s="16">
        <v>100988</v>
      </c>
      <c r="L267" s="16">
        <v>7752</v>
      </c>
      <c r="M267" s="16">
        <v>0</v>
      </c>
      <c r="N267" s="16">
        <v>0</v>
      </c>
      <c r="O267" s="16">
        <v>0</v>
      </c>
      <c r="P267" s="16">
        <f>257527+22538</f>
        <v>280065</v>
      </c>
      <c r="Q267" s="11">
        <f t="shared" si="519"/>
        <v>0</v>
      </c>
      <c r="R267" s="16">
        <v>0</v>
      </c>
      <c r="S267" s="16">
        <v>0</v>
      </c>
      <c r="T267" s="16">
        <v>0</v>
      </c>
      <c r="U267" s="16">
        <v>6388</v>
      </c>
      <c r="V267" s="11">
        <f t="shared" si="582"/>
        <v>97382</v>
      </c>
      <c r="W267" s="16">
        <v>9564</v>
      </c>
      <c r="X267" s="16">
        <v>64611</v>
      </c>
      <c r="Y267" s="16">
        <v>12004</v>
      </c>
      <c r="Z267" s="16">
        <v>9771</v>
      </c>
      <c r="AA267" s="16">
        <v>1432</v>
      </c>
      <c r="AB267" s="16">
        <v>0</v>
      </c>
      <c r="AC267" s="16">
        <v>0</v>
      </c>
      <c r="AD267" s="16">
        <v>0</v>
      </c>
      <c r="AE267" s="11"/>
      <c r="AF267" s="11">
        <f t="shared" si="583"/>
        <v>184051</v>
      </c>
      <c r="AG267" s="16"/>
      <c r="AH267" s="16"/>
      <c r="AI267" s="16">
        <v>10159</v>
      </c>
      <c r="AJ267" s="16">
        <v>80056</v>
      </c>
      <c r="AK267" s="16"/>
      <c r="AL267" s="16">
        <v>592</v>
      </c>
      <c r="AM267" s="16"/>
      <c r="AN267" s="16">
        <v>224</v>
      </c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>
        <v>93020</v>
      </c>
      <c r="BC267" s="11">
        <f t="shared" si="584"/>
        <v>0</v>
      </c>
      <c r="BD267" s="11">
        <f t="shared" si="585"/>
        <v>0</v>
      </c>
      <c r="BE267" s="11">
        <v>0</v>
      </c>
      <c r="BF267" s="11">
        <v>0</v>
      </c>
      <c r="BG267" s="11">
        <v>0</v>
      </c>
      <c r="BH267" s="11">
        <f t="shared" si="521"/>
        <v>0</v>
      </c>
      <c r="BI267" s="11">
        <v>0</v>
      </c>
      <c r="BJ267" s="11">
        <v>0</v>
      </c>
      <c r="BK267" s="11">
        <v>0</v>
      </c>
      <c r="BL267" s="11">
        <v>0</v>
      </c>
      <c r="BM267" s="11">
        <v>0</v>
      </c>
      <c r="BN267" s="11">
        <f t="shared" si="522"/>
        <v>0</v>
      </c>
      <c r="BO267" s="11">
        <v>0</v>
      </c>
      <c r="BP267" s="11">
        <v>0</v>
      </c>
      <c r="BQ267" s="11">
        <f t="shared" si="523"/>
        <v>0</v>
      </c>
      <c r="BR267" s="11">
        <v>0</v>
      </c>
      <c r="BS267" s="11">
        <v>0</v>
      </c>
      <c r="BT267" s="11">
        <v>0</v>
      </c>
      <c r="BU267" s="11">
        <v>0</v>
      </c>
      <c r="BV267" s="11">
        <v>0</v>
      </c>
      <c r="BW267" s="11">
        <v>0</v>
      </c>
      <c r="BX267" s="11">
        <v>0</v>
      </c>
      <c r="BY267" s="11">
        <v>0</v>
      </c>
      <c r="BZ267" s="11">
        <v>0</v>
      </c>
      <c r="CA267" s="11">
        <v>0</v>
      </c>
      <c r="CB267" s="11">
        <v>0</v>
      </c>
      <c r="CC267" s="11">
        <f t="shared" si="586"/>
        <v>83544</v>
      </c>
      <c r="CD267" s="11">
        <f t="shared" si="587"/>
        <v>83544</v>
      </c>
      <c r="CE267" s="11">
        <f t="shared" si="524"/>
        <v>83544</v>
      </c>
      <c r="CF267" s="16"/>
      <c r="CG267" s="16">
        <v>83544</v>
      </c>
      <c r="CH267" s="11">
        <f t="shared" si="588"/>
        <v>0</v>
      </c>
      <c r="CI267" s="11">
        <v>0</v>
      </c>
      <c r="CJ267" s="11">
        <v>0</v>
      </c>
      <c r="CK267" s="11">
        <v>0</v>
      </c>
      <c r="CL267" s="11">
        <v>0</v>
      </c>
      <c r="CM267" s="11">
        <f t="shared" si="589"/>
        <v>0</v>
      </c>
      <c r="CN267" s="16"/>
      <c r="CO267" s="11">
        <v>0</v>
      </c>
      <c r="CP267" s="11"/>
      <c r="CQ267" s="11">
        <v>0</v>
      </c>
      <c r="CR267" s="11">
        <v>0</v>
      </c>
      <c r="CS267" s="11">
        <v>0</v>
      </c>
      <c r="CT267" s="11">
        <v>0</v>
      </c>
      <c r="CU267" s="11">
        <f t="shared" si="525"/>
        <v>0</v>
      </c>
      <c r="CV267" s="11">
        <f t="shared" si="526"/>
        <v>0</v>
      </c>
      <c r="CW267" s="11">
        <v>0</v>
      </c>
      <c r="CX267" s="12">
        <v>0</v>
      </c>
    </row>
    <row r="268" spans="1:102" ht="15.75" x14ac:dyDescent="0.25">
      <c r="A268" s="13" t="s">
        <v>1</v>
      </c>
      <c r="B268" s="14" t="s">
        <v>1</v>
      </c>
      <c r="C268" s="14" t="s">
        <v>98</v>
      </c>
      <c r="D268" s="15" t="s">
        <v>476</v>
      </c>
      <c r="E268" s="10">
        <f t="shared" si="578"/>
        <v>544192</v>
      </c>
      <c r="F268" s="11">
        <f t="shared" si="579"/>
        <v>519042</v>
      </c>
      <c r="G268" s="11">
        <f t="shared" si="580"/>
        <v>519042</v>
      </c>
      <c r="H268" s="16">
        <v>18500</v>
      </c>
      <c r="I268" s="16">
        <f>4625-1551</f>
        <v>3074</v>
      </c>
      <c r="J268" s="11">
        <f t="shared" si="581"/>
        <v>107970</v>
      </c>
      <c r="K268" s="16">
        <v>2200</v>
      </c>
      <c r="L268" s="16">
        <v>0</v>
      </c>
      <c r="M268" s="16">
        <v>0</v>
      </c>
      <c r="N268" s="16">
        <v>0</v>
      </c>
      <c r="O268" s="16">
        <f>20660+6000-15205</f>
        <v>11455</v>
      </c>
      <c r="P268" s="16">
        <f>108184+18550-32419</f>
        <v>94315</v>
      </c>
      <c r="Q268" s="11">
        <f t="shared" si="519"/>
        <v>0</v>
      </c>
      <c r="R268" s="16">
        <v>0</v>
      </c>
      <c r="S268" s="16">
        <v>0</v>
      </c>
      <c r="T268" s="16">
        <v>0</v>
      </c>
      <c r="U268" s="16">
        <v>0</v>
      </c>
      <c r="V268" s="11">
        <f t="shared" si="582"/>
        <v>191951</v>
      </c>
      <c r="W268" s="16">
        <v>3298</v>
      </c>
      <c r="X268" s="16">
        <f>102042+6308</f>
        <v>108350</v>
      </c>
      <c r="Y268" s="16">
        <f>26255+8948</f>
        <v>35203</v>
      </c>
      <c r="Z268" s="16">
        <v>36791</v>
      </c>
      <c r="AA268" s="16">
        <v>7446</v>
      </c>
      <c r="AB268" s="16">
        <v>0</v>
      </c>
      <c r="AC268" s="16">
        <v>0</v>
      </c>
      <c r="AD268" s="16">
        <v>863</v>
      </c>
      <c r="AE268" s="11"/>
      <c r="AF268" s="11">
        <f t="shared" si="583"/>
        <v>197547</v>
      </c>
      <c r="AG268" s="16"/>
      <c r="AH268" s="16"/>
      <c r="AI268" s="16">
        <v>0</v>
      </c>
      <c r="AJ268" s="16">
        <f>30109+12547-25909</f>
        <v>16747</v>
      </c>
      <c r="AK268" s="16">
        <f>3840-3840</f>
        <v>0</v>
      </c>
      <c r="AL268" s="16">
        <f>16000+5000-12003</f>
        <v>8997</v>
      </c>
      <c r="AM268" s="16"/>
      <c r="AN268" s="16">
        <v>400</v>
      </c>
      <c r="AO268" s="16">
        <v>4350</v>
      </c>
      <c r="AP268" s="16"/>
      <c r="AQ268" s="16"/>
      <c r="AR268" s="16">
        <f>0+97207</f>
        <v>97207</v>
      </c>
      <c r="AS268" s="16"/>
      <c r="AT268" s="16"/>
      <c r="AU268" s="16">
        <f>16900+18000</f>
        <v>34900</v>
      </c>
      <c r="AV268" s="16"/>
      <c r="AW268" s="16"/>
      <c r="AX268" s="16"/>
      <c r="AY268" s="16"/>
      <c r="AZ268" s="16"/>
      <c r="BA268" s="16"/>
      <c r="BB268" s="16">
        <f>47482+9000-21536</f>
        <v>34946</v>
      </c>
      <c r="BC268" s="11">
        <f t="shared" si="584"/>
        <v>0</v>
      </c>
      <c r="BD268" s="11">
        <f t="shared" si="585"/>
        <v>0</v>
      </c>
      <c r="BE268" s="11">
        <v>0</v>
      </c>
      <c r="BF268" s="11">
        <v>0</v>
      </c>
      <c r="BG268" s="11">
        <v>0</v>
      </c>
      <c r="BH268" s="11">
        <f t="shared" si="521"/>
        <v>0</v>
      </c>
      <c r="BI268" s="11">
        <v>0</v>
      </c>
      <c r="BJ268" s="11">
        <v>0</v>
      </c>
      <c r="BK268" s="11">
        <v>0</v>
      </c>
      <c r="BL268" s="11">
        <v>0</v>
      </c>
      <c r="BM268" s="11">
        <v>0</v>
      </c>
      <c r="BN268" s="11">
        <f t="shared" si="522"/>
        <v>0</v>
      </c>
      <c r="BO268" s="11">
        <v>0</v>
      </c>
      <c r="BP268" s="11">
        <v>0</v>
      </c>
      <c r="BQ268" s="11">
        <f t="shared" si="523"/>
        <v>0</v>
      </c>
      <c r="BR268" s="11">
        <v>0</v>
      </c>
      <c r="BS268" s="11">
        <v>0</v>
      </c>
      <c r="BT268" s="11">
        <v>0</v>
      </c>
      <c r="BU268" s="11">
        <v>0</v>
      </c>
      <c r="BV268" s="11">
        <v>0</v>
      </c>
      <c r="BW268" s="11">
        <v>0</v>
      </c>
      <c r="BX268" s="11">
        <v>0</v>
      </c>
      <c r="BY268" s="11">
        <v>0</v>
      </c>
      <c r="BZ268" s="11">
        <v>0</v>
      </c>
      <c r="CA268" s="11">
        <v>0</v>
      </c>
      <c r="CB268" s="11">
        <v>0</v>
      </c>
      <c r="CC268" s="11">
        <f t="shared" si="586"/>
        <v>25150</v>
      </c>
      <c r="CD268" s="11">
        <f t="shared" si="587"/>
        <v>25150</v>
      </c>
      <c r="CE268" s="11">
        <f t="shared" si="524"/>
        <v>25150</v>
      </c>
      <c r="CF268" s="16"/>
      <c r="CG268" s="16">
        <v>25150</v>
      </c>
      <c r="CH268" s="11">
        <f t="shared" si="588"/>
        <v>0</v>
      </c>
      <c r="CI268" s="11">
        <v>0</v>
      </c>
      <c r="CJ268" s="11">
        <v>0</v>
      </c>
      <c r="CK268" s="11">
        <v>0</v>
      </c>
      <c r="CL268" s="11">
        <v>0</v>
      </c>
      <c r="CM268" s="11">
        <f t="shared" si="589"/>
        <v>0</v>
      </c>
      <c r="CN268" s="16"/>
      <c r="CO268" s="11">
        <v>0</v>
      </c>
      <c r="CP268" s="11"/>
      <c r="CQ268" s="11">
        <v>0</v>
      </c>
      <c r="CR268" s="11">
        <v>0</v>
      </c>
      <c r="CS268" s="11">
        <v>0</v>
      </c>
      <c r="CT268" s="11">
        <v>0</v>
      </c>
      <c r="CU268" s="11">
        <f t="shared" si="525"/>
        <v>0</v>
      </c>
      <c r="CV268" s="11">
        <f t="shared" si="526"/>
        <v>0</v>
      </c>
      <c r="CW268" s="11">
        <v>0</v>
      </c>
      <c r="CX268" s="12">
        <v>0</v>
      </c>
    </row>
    <row r="269" spans="1:102" ht="31.5" x14ac:dyDescent="0.25">
      <c r="A269" s="13" t="s">
        <v>1</v>
      </c>
      <c r="B269" s="14" t="s">
        <v>1</v>
      </c>
      <c r="C269" s="14" t="s">
        <v>98</v>
      </c>
      <c r="D269" s="15" t="s">
        <v>477</v>
      </c>
      <c r="E269" s="10">
        <f t="shared" si="578"/>
        <v>1032200</v>
      </c>
      <c r="F269" s="11">
        <f t="shared" si="579"/>
        <v>1000091</v>
      </c>
      <c r="G269" s="11">
        <f t="shared" si="580"/>
        <v>1000091</v>
      </c>
      <c r="H269" s="16">
        <v>321088</v>
      </c>
      <c r="I269" s="16">
        <v>80272</v>
      </c>
      <c r="J269" s="11">
        <f t="shared" si="581"/>
        <v>407637</v>
      </c>
      <c r="K269" s="16">
        <v>5202</v>
      </c>
      <c r="L269" s="16">
        <v>45250</v>
      </c>
      <c r="M269" s="16">
        <v>0</v>
      </c>
      <c r="N269" s="16">
        <v>0</v>
      </c>
      <c r="O269" s="16">
        <v>271919</v>
      </c>
      <c r="P269" s="16">
        <v>85266</v>
      </c>
      <c r="Q269" s="11">
        <f t="shared" si="519"/>
        <v>873</v>
      </c>
      <c r="R269" s="16">
        <v>873</v>
      </c>
      <c r="S269" s="16">
        <v>0</v>
      </c>
      <c r="T269" s="16">
        <v>0</v>
      </c>
      <c r="U269" s="16">
        <v>17472</v>
      </c>
      <c r="V269" s="11">
        <f t="shared" si="582"/>
        <v>62555</v>
      </c>
      <c r="W269" s="16">
        <v>12724</v>
      </c>
      <c r="X269" s="16">
        <v>30650</v>
      </c>
      <c r="Y269" s="16">
        <v>9666</v>
      </c>
      <c r="Z269" s="16">
        <v>2563</v>
      </c>
      <c r="AA269" s="16">
        <v>6952</v>
      </c>
      <c r="AB269" s="16">
        <v>0</v>
      </c>
      <c r="AC269" s="16">
        <v>0</v>
      </c>
      <c r="AD269" s="16">
        <v>0</v>
      </c>
      <c r="AE269" s="11"/>
      <c r="AF269" s="11">
        <f t="shared" si="583"/>
        <v>110194</v>
      </c>
      <c r="AG269" s="16"/>
      <c r="AH269" s="16"/>
      <c r="AI269" s="16">
        <v>12450</v>
      </c>
      <c r="AJ269" s="16">
        <v>47050</v>
      </c>
      <c r="AK269" s="16"/>
      <c r="AL269" s="16">
        <v>1901</v>
      </c>
      <c r="AM269" s="16"/>
      <c r="AN269" s="16">
        <v>3661</v>
      </c>
      <c r="AO269" s="16">
        <v>45012</v>
      </c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>
        <v>120</v>
      </c>
      <c r="BC269" s="11">
        <f t="shared" si="584"/>
        <v>0</v>
      </c>
      <c r="BD269" s="11">
        <f t="shared" si="585"/>
        <v>0</v>
      </c>
      <c r="BE269" s="11">
        <v>0</v>
      </c>
      <c r="BF269" s="11">
        <v>0</v>
      </c>
      <c r="BG269" s="11">
        <v>0</v>
      </c>
      <c r="BH269" s="11">
        <f t="shared" si="521"/>
        <v>0</v>
      </c>
      <c r="BI269" s="11">
        <v>0</v>
      </c>
      <c r="BJ269" s="11">
        <v>0</v>
      </c>
      <c r="BK269" s="11">
        <v>0</v>
      </c>
      <c r="BL269" s="11">
        <v>0</v>
      </c>
      <c r="BM269" s="11">
        <v>0</v>
      </c>
      <c r="BN269" s="11">
        <f t="shared" si="522"/>
        <v>0</v>
      </c>
      <c r="BO269" s="11">
        <v>0</v>
      </c>
      <c r="BP269" s="11">
        <v>0</v>
      </c>
      <c r="BQ269" s="11">
        <f t="shared" si="523"/>
        <v>0</v>
      </c>
      <c r="BR269" s="11">
        <v>0</v>
      </c>
      <c r="BS269" s="11">
        <v>0</v>
      </c>
      <c r="BT269" s="11">
        <v>0</v>
      </c>
      <c r="BU269" s="11">
        <v>0</v>
      </c>
      <c r="BV269" s="11">
        <v>0</v>
      </c>
      <c r="BW269" s="11">
        <v>0</v>
      </c>
      <c r="BX269" s="11">
        <v>0</v>
      </c>
      <c r="BY269" s="11">
        <v>0</v>
      </c>
      <c r="BZ269" s="11">
        <v>0</v>
      </c>
      <c r="CA269" s="11">
        <v>0</v>
      </c>
      <c r="CB269" s="11">
        <v>0</v>
      </c>
      <c r="CC269" s="11">
        <f t="shared" si="586"/>
        <v>32109</v>
      </c>
      <c r="CD269" s="11">
        <f t="shared" si="587"/>
        <v>32109</v>
      </c>
      <c r="CE269" s="11">
        <f t="shared" si="524"/>
        <v>32109</v>
      </c>
      <c r="CF269" s="16"/>
      <c r="CG269" s="16">
        <v>32109</v>
      </c>
      <c r="CH269" s="11">
        <f t="shared" si="588"/>
        <v>0</v>
      </c>
      <c r="CI269" s="11">
        <v>0</v>
      </c>
      <c r="CJ269" s="11">
        <v>0</v>
      </c>
      <c r="CK269" s="11">
        <v>0</v>
      </c>
      <c r="CL269" s="11">
        <v>0</v>
      </c>
      <c r="CM269" s="11">
        <f t="shared" si="589"/>
        <v>0</v>
      </c>
      <c r="CN269" s="16"/>
      <c r="CO269" s="11">
        <v>0</v>
      </c>
      <c r="CP269" s="11"/>
      <c r="CQ269" s="11">
        <v>0</v>
      </c>
      <c r="CR269" s="11">
        <v>0</v>
      </c>
      <c r="CS269" s="11">
        <v>0</v>
      </c>
      <c r="CT269" s="11">
        <v>0</v>
      </c>
      <c r="CU269" s="11">
        <f t="shared" si="525"/>
        <v>0</v>
      </c>
      <c r="CV269" s="11">
        <f t="shared" si="526"/>
        <v>0</v>
      </c>
      <c r="CW269" s="11">
        <v>0</v>
      </c>
      <c r="CX269" s="12">
        <v>0</v>
      </c>
    </row>
    <row r="270" spans="1:102" ht="15.75" x14ac:dyDescent="0.25">
      <c r="A270" s="13" t="s">
        <v>1</v>
      </c>
      <c r="B270" s="14" t="s">
        <v>1</v>
      </c>
      <c r="C270" s="14" t="s">
        <v>98</v>
      </c>
      <c r="D270" s="15" t="s">
        <v>478</v>
      </c>
      <c r="E270" s="10">
        <f t="shared" si="578"/>
        <v>1600000</v>
      </c>
      <c r="F270" s="11">
        <f t="shared" si="579"/>
        <v>1471971</v>
      </c>
      <c r="G270" s="11">
        <f t="shared" si="580"/>
        <v>1471971</v>
      </c>
      <c r="H270" s="16">
        <v>324996</v>
      </c>
      <c r="I270" s="16">
        <v>81249</v>
      </c>
      <c r="J270" s="11">
        <f t="shared" si="581"/>
        <v>163396</v>
      </c>
      <c r="K270" s="16">
        <v>0</v>
      </c>
      <c r="L270" s="16">
        <v>0</v>
      </c>
      <c r="M270" s="16">
        <v>0</v>
      </c>
      <c r="N270" s="16">
        <v>0</v>
      </c>
      <c r="O270" s="16">
        <v>77150</v>
      </c>
      <c r="P270" s="16">
        <f>16246+70000</f>
        <v>86246</v>
      </c>
      <c r="Q270" s="11">
        <f t="shared" si="519"/>
        <v>55750</v>
      </c>
      <c r="R270" s="16">
        <v>1000</v>
      </c>
      <c r="S270" s="16">
        <v>54750</v>
      </c>
      <c r="T270" s="16">
        <v>0</v>
      </c>
      <c r="U270" s="16">
        <v>29479</v>
      </c>
      <c r="V270" s="11">
        <f t="shared" si="582"/>
        <v>206867</v>
      </c>
      <c r="W270" s="16">
        <f>71154+15000</f>
        <v>86154</v>
      </c>
      <c r="X270" s="16">
        <v>1997</v>
      </c>
      <c r="Y270" s="16">
        <v>78163</v>
      </c>
      <c r="Z270" s="16">
        <v>13055</v>
      </c>
      <c r="AA270" s="16">
        <v>3261</v>
      </c>
      <c r="AB270" s="16">
        <v>0</v>
      </c>
      <c r="AC270" s="16">
        <v>0</v>
      </c>
      <c r="AD270" s="16">
        <v>24237</v>
      </c>
      <c r="AE270" s="11"/>
      <c r="AF270" s="11">
        <f t="shared" si="583"/>
        <v>610234</v>
      </c>
      <c r="AG270" s="16"/>
      <c r="AH270" s="16"/>
      <c r="AI270" s="16">
        <v>15694</v>
      </c>
      <c r="AJ270" s="16">
        <v>43392</v>
      </c>
      <c r="AK270" s="16"/>
      <c r="AL270" s="16">
        <v>1591</v>
      </c>
      <c r="AM270" s="16"/>
      <c r="AN270" s="16">
        <v>3250</v>
      </c>
      <c r="AO270" s="16">
        <v>81714</v>
      </c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>
        <f>534593-70000</f>
        <v>464593</v>
      </c>
      <c r="BC270" s="11">
        <f t="shared" si="584"/>
        <v>0</v>
      </c>
      <c r="BD270" s="11">
        <f t="shared" si="585"/>
        <v>0</v>
      </c>
      <c r="BE270" s="11">
        <v>0</v>
      </c>
      <c r="BF270" s="11">
        <v>0</v>
      </c>
      <c r="BG270" s="11">
        <v>0</v>
      </c>
      <c r="BH270" s="11">
        <f t="shared" si="521"/>
        <v>0</v>
      </c>
      <c r="BI270" s="11">
        <v>0</v>
      </c>
      <c r="BJ270" s="11">
        <v>0</v>
      </c>
      <c r="BK270" s="11">
        <v>0</v>
      </c>
      <c r="BL270" s="11">
        <v>0</v>
      </c>
      <c r="BM270" s="11">
        <v>0</v>
      </c>
      <c r="BN270" s="11">
        <f t="shared" si="522"/>
        <v>0</v>
      </c>
      <c r="BO270" s="11">
        <v>0</v>
      </c>
      <c r="BP270" s="11">
        <v>0</v>
      </c>
      <c r="BQ270" s="11">
        <f t="shared" si="523"/>
        <v>0</v>
      </c>
      <c r="BR270" s="11">
        <v>0</v>
      </c>
      <c r="BS270" s="11">
        <v>0</v>
      </c>
      <c r="BT270" s="11">
        <v>0</v>
      </c>
      <c r="BU270" s="11">
        <v>0</v>
      </c>
      <c r="BV270" s="11">
        <v>0</v>
      </c>
      <c r="BW270" s="11">
        <v>0</v>
      </c>
      <c r="BX270" s="11">
        <v>0</v>
      </c>
      <c r="BY270" s="11">
        <v>0</v>
      </c>
      <c r="BZ270" s="11">
        <v>0</v>
      </c>
      <c r="CA270" s="11">
        <v>0</v>
      </c>
      <c r="CB270" s="11">
        <v>0</v>
      </c>
      <c r="CC270" s="11">
        <f t="shared" si="586"/>
        <v>128029</v>
      </c>
      <c r="CD270" s="11">
        <f t="shared" si="587"/>
        <v>128029</v>
      </c>
      <c r="CE270" s="11">
        <f t="shared" si="524"/>
        <v>128029</v>
      </c>
      <c r="CF270" s="16"/>
      <c r="CG270" s="16">
        <f>143029-15000</f>
        <v>128029</v>
      </c>
      <c r="CH270" s="11">
        <f t="shared" si="588"/>
        <v>0</v>
      </c>
      <c r="CI270" s="11">
        <v>0</v>
      </c>
      <c r="CJ270" s="11">
        <v>0</v>
      </c>
      <c r="CK270" s="11">
        <v>0</v>
      </c>
      <c r="CL270" s="11">
        <v>0</v>
      </c>
      <c r="CM270" s="11">
        <f t="shared" si="589"/>
        <v>0</v>
      </c>
      <c r="CN270" s="16"/>
      <c r="CO270" s="11">
        <v>0</v>
      </c>
      <c r="CP270" s="11"/>
      <c r="CQ270" s="11">
        <v>0</v>
      </c>
      <c r="CR270" s="11">
        <v>0</v>
      </c>
      <c r="CS270" s="11">
        <v>0</v>
      </c>
      <c r="CT270" s="11">
        <v>0</v>
      </c>
      <c r="CU270" s="11">
        <f t="shared" si="525"/>
        <v>0</v>
      </c>
      <c r="CV270" s="11">
        <f t="shared" si="526"/>
        <v>0</v>
      </c>
      <c r="CW270" s="11">
        <v>0</v>
      </c>
      <c r="CX270" s="12">
        <v>0</v>
      </c>
    </row>
    <row r="271" spans="1:102" ht="15.75" x14ac:dyDescent="0.25">
      <c r="A271" s="13" t="s">
        <v>1</v>
      </c>
      <c r="B271" s="14" t="s">
        <v>1</v>
      </c>
      <c r="C271" s="14" t="s">
        <v>98</v>
      </c>
      <c r="D271" s="15" t="s">
        <v>479</v>
      </c>
      <c r="E271" s="10">
        <f t="shared" si="578"/>
        <v>14966833</v>
      </c>
      <c r="F271" s="11">
        <f t="shared" si="579"/>
        <v>14716007</v>
      </c>
      <c r="G271" s="11">
        <f t="shared" si="580"/>
        <v>14716007</v>
      </c>
      <c r="H271" s="16">
        <v>2681030</v>
      </c>
      <c r="I271" s="16">
        <v>634052</v>
      </c>
      <c r="J271" s="11">
        <f t="shared" si="581"/>
        <v>191786</v>
      </c>
      <c r="K271" s="16">
        <v>0</v>
      </c>
      <c r="L271" s="16">
        <v>0</v>
      </c>
      <c r="M271" s="16">
        <v>0</v>
      </c>
      <c r="N271" s="16">
        <v>0</v>
      </c>
      <c r="O271" s="16">
        <v>82781</v>
      </c>
      <c r="P271" s="16">
        <v>109005</v>
      </c>
      <c r="Q271" s="11">
        <f>SUM(R271:S271)</f>
        <v>0</v>
      </c>
      <c r="R271" s="16">
        <v>0</v>
      </c>
      <c r="S271" s="16">
        <v>0</v>
      </c>
      <c r="T271" s="16">
        <v>36000</v>
      </c>
      <c r="U271" s="16">
        <v>24432</v>
      </c>
      <c r="V271" s="11">
        <f t="shared" si="582"/>
        <v>212357</v>
      </c>
      <c r="W271" s="16">
        <v>4512</v>
      </c>
      <c r="X271" s="16">
        <v>91423</v>
      </c>
      <c r="Y271" s="16">
        <v>94905</v>
      </c>
      <c r="Z271" s="16">
        <f>4436+4038</f>
        <v>8474</v>
      </c>
      <c r="AA271" s="16">
        <v>13043</v>
      </c>
      <c r="AB271" s="16">
        <v>0</v>
      </c>
      <c r="AC271" s="16">
        <v>0</v>
      </c>
      <c r="AD271" s="16">
        <v>0</v>
      </c>
      <c r="AE271" s="11"/>
      <c r="AF271" s="11">
        <f t="shared" si="583"/>
        <v>10936350</v>
      </c>
      <c r="AG271" s="16"/>
      <c r="AH271" s="16"/>
      <c r="AI271" s="16">
        <v>286682</v>
      </c>
      <c r="AJ271" s="16">
        <v>18121</v>
      </c>
      <c r="AK271" s="16"/>
      <c r="AL271" s="16">
        <v>4500</v>
      </c>
      <c r="AM271" s="16"/>
      <c r="AN271" s="16">
        <v>25083</v>
      </c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>
        <f>10577169+28833-4038</f>
        <v>10601964</v>
      </c>
      <c r="BC271" s="11">
        <f t="shared" si="584"/>
        <v>0</v>
      </c>
      <c r="BD271" s="11">
        <f t="shared" si="585"/>
        <v>0</v>
      </c>
      <c r="BE271" s="11">
        <v>0</v>
      </c>
      <c r="BF271" s="11">
        <v>0</v>
      </c>
      <c r="BG271" s="11">
        <v>0</v>
      </c>
      <c r="BH271" s="11">
        <f>SUM(BJ271:BK271)</f>
        <v>0</v>
      </c>
      <c r="BI271" s="11">
        <v>0</v>
      </c>
      <c r="BJ271" s="11">
        <v>0</v>
      </c>
      <c r="BK271" s="11">
        <v>0</v>
      </c>
      <c r="BL271" s="11">
        <v>0</v>
      </c>
      <c r="BM271" s="11">
        <v>0</v>
      </c>
      <c r="BN271" s="11">
        <f>SUM(BO271)</f>
        <v>0</v>
      </c>
      <c r="BO271" s="11">
        <v>0</v>
      </c>
      <c r="BP271" s="11">
        <v>0</v>
      </c>
      <c r="BQ271" s="11">
        <f>SUM(BR271:CB271)</f>
        <v>0</v>
      </c>
      <c r="BR271" s="11">
        <v>0</v>
      </c>
      <c r="BS271" s="11">
        <v>0</v>
      </c>
      <c r="BT271" s="11">
        <v>0</v>
      </c>
      <c r="BU271" s="11">
        <v>0</v>
      </c>
      <c r="BV271" s="11">
        <v>0</v>
      </c>
      <c r="BW271" s="11">
        <v>0</v>
      </c>
      <c r="BX271" s="11">
        <v>0</v>
      </c>
      <c r="BY271" s="11">
        <v>0</v>
      </c>
      <c r="BZ271" s="11">
        <v>0</v>
      </c>
      <c r="CA271" s="11">
        <v>0</v>
      </c>
      <c r="CB271" s="11">
        <v>0</v>
      </c>
      <c r="CC271" s="11">
        <f t="shared" si="586"/>
        <v>250826</v>
      </c>
      <c r="CD271" s="11">
        <f t="shared" si="587"/>
        <v>250826</v>
      </c>
      <c r="CE271" s="11">
        <f>SUM(CF271:CG271)</f>
        <v>250826</v>
      </c>
      <c r="CF271" s="16"/>
      <c r="CG271" s="16">
        <v>250826</v>
      </c>
      <c r="CH271" s="11">
        <f t="shared" si="588"/>
        <v>0</v>
      </c>
      <c r="CI271" s="11">
        <v>0</v>
      </c>
      <c r="CJ271" s="11">
        <v>0</v>
      </c>
      <c r="CK271" s="11">
        <v>0</v>
      </c>
      <c r="CL271" s="11">
        <v>0</v>
      </c>
      <c r="CM271" s="11">
        <f t="shared" si="589"/>
        <v>0</v>
      </c>
      <c r="CN271" s="16"/>
      <c r="CO271" s="11">
        <v>0</v>
      </c>
      <c r="CP271" s="11"/>
      <c r="CQ271" s="11">
        <v>0</v>
      </c>
      <c r="CR271" s="11">
        <v>0</v>
      </c>
      <c r="CS271" s="11">
        <v>0</v>
      </c>
      <c r="CT271" s="11">
        <v>0</v>
      </c>
      <c r="CU271" s="11">
        <f>SUM(CV271)</f>
        <v>0</v>
      </c>
      <c r="CV271" s="11">
        <f>SUM(CW271:CX271)</f>
        <v>0</v>
      </c>
      <c r="CW271" s="11">
        <v>0</v>
      </c>
      <c r="CX271" s="12">
        <v>0</v>
      </c>
    </row>
    <row r="272" spans="1:102" ht="31.5" x14ac:dyDescent="0.25">
      <c r="A272" s="13" t="s">
        <v>1</v>
      </c>
      <c r="B272" s="14" t="s">
        <v>1</v>
      </c>
      <c r="C272" s="14" t="s">
        <v>104</v>
      </c>
      <c r="D272" s="15" t="s">
        <v>480</v>
      </c>
      <c r="E272" s="10">
        <f t="shared" si="578"/>
        <v>828855</v>
      </c>
      <c r="F272" s="11">
        <f t="shared" si="579"/>
        <v>628855</v>
      </c>
      <c r="G272" s="11">
        <f t="shared" si="580"/>
        <v>628855</v>
      </c>
      <c r="H272" s="16">
        <v>157797</v>
      </c>
      <c r="I272" s="16">
        <v>37724</v>
      </c>
      <c r="J272" s="11">
        <f t="shared" si="581"/>
        <v>194267</v>
      </c>
      <c r="K272" s="16">
        <v>0</v>
      </c>
      <c r="L272" s="16">
        <v>0</v>
      </c>
      <c r="M272" s="16">
        <v>0</v>
      </c>
      <c r="N272" s="16">
        <v>0</v>
      </c>
      <c r="O272" s="16">
        <v>10000</v>
      </c>
      <c r="P272" s="16">
        <f>105412+18855+60000</f>
        <v>184267</v>
      </c>
      <c r="Q272" s="11">
        <f t="shared" si="519"/>
        <v>3000</v>
      </c>
      <c r="R272" s="16">
        <v>3000</v>
      </c>
      <c r="S272" s="16">
        <v>0</v>
      </c>
      <c r="T272" s="16">
        <v>0</v>
      </c>
      <c r="U272" s="16">
        <v>22000</v>
      </c>
      <c r="V272" s="11">
        <f t="shared" si="582"/>
        <v>9979</v>
      </c>
      <c r="W272" s="16">
        <v>9979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1"/>
      <c r="AF272" s="11">
        <f t="shared" si="583"/>
        <v>204088</v>
      </c>
      <c r="AG272" s="16"/>
      <c r="AH272" s="16"/>
      <c r="AI272" s="16">
        <v>9500</v>
      </c>
      <c r="AJ272" s="16">
        <f>80000+50000</f>
        <v>130000</v>
      </c>
      <c r="AK272" s="16"/>
      <c r="AL272" s="16">
        <v>5000</v>
      </c>
      <c r="AM272" s="16"/>
      <c r="AN272" s="16">
        <v>5000</v>
      </c>
      <c r="AO272" s="16">
        <v>10000</v>
      </c>
      <c r="AP272" s="16"/>
      <c r="AQ272" s="16"/>
      <c r="AR272" s="16"/>
      <c r="AS272" s="16"/>
      <c r="AT272" s="16">
        <v>24588</v>
      </c>
      <c r="AU272" s="16"/>
      <c r="AV272" s="16"/>
      <c r="AW272" s="16"/>
      <c r="AX272" s="16"/>
      <c r="AY272" s="16"/>
      <c r="AZ272" s="16"/>
      <c r="BA272" s="16"/>
      <c r="BB272" s="16">
        <v>20000</v>
      </c>
      <c r="BC272" s="11">
        <f t="shared" si="584"/>
        <v>0</v>
      </c>
      <c r="BD272" s="11">
        <f t="shared" si="585"/>
        <v>0</v>
      </c>
      <c r="BE272" s="11">
        <v>0</v>
      </c>
      <c r="BF272" s="11">
        <v>0</v>
      </c>
      <c r="BG272" s="11">
        <v>0</v>
      </c>
      <c r="BH272" s="11">
        <f t="shared" si="521"/>
        <v>0</v>
      </c>
      <c r="BI272" s="11">
        <v>0</v>
      </c>
      <c r="BJ272" s="11">
        <v>0</v>
      </c>
      <c r="BK272" s="11">
        <v>0</v>
      </c>
      <c r="BL272" s="11">
        <v>0</v>
      </c>
      <c r="BM272" s="11">
        <v>0</v>
      </c>
      <c r="BN272" s="11">
        <f t="shared" si="522"/>
        <v>0</v>
      </c>
      <c r="BO272" s="11">
        <v>0</v>
      </c>
      <c r="BP272" s="11">
        <v>0</v>
      </c>
      <c r="BQ272" s="11">
        <f t="shared" si="523"/>
        <v>0</v>
      </c>
      <c r="BR272" s="11">
        <v>0</v>
      </c>
      <c r="BS272" s="11">
        <v>0</v>
      </c>
      <c r="BT272" s="11">
        <v>0</v>
      </c>
      <c r="BU272" s="11">
        <v>0</v>
      </c>
      <c r="BV272" s="11">
        <v>0</v>
      </c>
      <c r="BW272" s="11">
        <v>0</v>
      </c>
      <c r="BX272" s="11">
        <v>0</v>
      </c>
      <c r="BY272" s="11">
        <v>0</v>
      </c>
      <c r="BZ272" s="11">
        <v>0</v>
      </c>
      <c r="CA272" s="11">
        <v>0</v>
      </c>
      <c r="CB272" s="11">
        <v>0</v>
      </c>
      <c r="CC272" s="11">
        <f t="shared" si="586"/>
        <v>200000</v>
      </c>
      <c r="CD272" s="11">
        <f t="shared" si="587"/>
        <v>200000</v>
      </c>
      <c r="CE272" s="11">
        <f t="shared" si="524"/>
        <v>200000</v>
      </c>
      <c r="CF272" s="16"/>
      <c r="CG272" s="16">
        <v>200000</v>
      </c>
      <c r="CH272" s="11">
        <f t="shared" si="588"/>
        <v>0</v>
      </c>
      <c r="CI272" s="11">
        <v>0</v>
      </c>
      <c r="CJ272" s="11">
        <v>0</v>
      </c>
      <c r="CK272" s="11">
        <v>0</v>
      </c>
      <c r="CL272" s="11">
        <v>0</v>
      </c>
      <c r="CM272" s="11">
        <f t="shared" si="589"/>
        <v>0</v>
      </c>
      <c r="CN272" s="16"/>
      <c r="CO272" s="11">
        <v>0</v>
      </c>
      <c r="CP272" s="11"/>
      <c r="CQ272" s="11">
        <v>0</v>
      </c>
      <c r="CR272" s="11">
        <v>0</v>
      </c>
      <c r="CS272" s="11">
        <v>0</v>
      </c>
      <c r="CT272" s="11">
        <v>0</v>
      </c>
      <c r="CU272" s="11">
        <f t="shared" si="525"/>
        <v>0</v>
      </c>
      <c r="CV272" s="11">
        <f t="shared" si="526"/>
        <v>0</v>
      </c>
      <c r="CW272" s="11">
        <v>0</v>
      </c>
      <c r="CX272" s="12">
        <v>0</v>
      </c>
    </row>
    <row r="273" spans="1:102" ht="31.5" x14ac:dyDescent="0.25">
      <c r="A273" s="13"/>
      <c r="B273" s="14"/>
      <c r="C273" s="14" t="s">
        <v>106</v>
      </c>
      <c r="D273" s="15" t="s">
        <v>394</v>
      </c>
      <c r="E273" s="10">
        <f t="shared" si="578"/>
        <v>323739</v>
      </c>
      <c r="F273" s="11">
        <f t="shared" si="579"/>
        <v>309739</v>
      </c>
      <c r="G273" s="11">
        <f t="shared" si="580"/>
        <v>309739</v>
      </c>
      <c r="H273" s="16">
        <v>105000</v>
      </c>
      <c r="I273" s="16">
        <v>26250</v>
      </c>
      <c r="J273" s="11">
        <f t="shared" si="581"/>
        <v>53884</v>
      </c>
      <c r="K273" s="16">
        <v>0</v>
      </c>
      <c r="L273" s="16">
        <v>0</v>
      </c>
      <c r="M273" s="16">
        <v>0</v>
      </c>
      <c r="N273" s="16">
        <v>0</v>
      </c>
      <c r="O273" s="16">
        <v>32443</v>
      </c>
      <c r="P273" s="16">
        <f>22057-616</f>
        <v>21441</v>
      </c>
      <c r="Q273" s="11">
        <f t="shared" ref="Q273:Q274" si="590">SUM(R273:S273)</f>
        <v>1050</v>
      </c>
      <c r="R273" s="16">
        <v>1050</v>
      </c>
      <c r="S273" s="16">
        <v>0</v>
      </c>
      <c r="T273" s="16">
        <v>0</v>
      </c>
      <c r="U273" s="16">
        <v>10752</v>
      </c>
      <c r="V273" s="11">
        <f t="shared" ref="V273:V274" si="591">SUM(W273:AD273)</f>
        <v>26112</v>
      </c>
      <c r="W273" s="16">
        <v>0</v>
      </c>
      <c r="X273" s="16">
        <v>0</v>
      </c>
      <c r="Y273" s="16">
        <v>0</v>
      </c>
      <c r="Z273" s="16">
        <f>10178+11549</f>
        <v>21727</v>
      </c>
      <c r="AA273" s="16">
        <v>718</v>
      </c>
      <c r="AB273" s="16">
        <v>0</v>
      </c>
      <c r="AC273" s="16">
        <v>0</v>
      </c>
      <c r="AD273" s="16">
        <f>3051+616</f>
        <v>3667</v>
      </c>
      <c r="AE273" s="11"/>
      <c r="AF273" s="11">
        <f t="shared" si="583"/>
        <v>86691</v>
      </c>
      <c r="AG273" s="16">
        <v>3689</v>
      </c>
      <c r="AH273" s="16"/>
      <c r="AI273" s="16">
        <v>7506</v>
      </c>
      <c r="AJ273" s="16">
        <v>15000</v>
      </c>
      <c r="AK273" s="16"/>
      <c r="AL273" s="16">
        <v>5000</v>
      </c>
      <c r="AM273" s="16"/>
      <c r="AN273" s="16">
        <v>1050</v>
      </c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>
        <f>36600+9290</f>
        <v>45890</v>
      </c>
      <c r="BB273" s="16">
        <v>8556</v>
      </c>
      <c r="BC273" s="11">
        <f t="shared" ref="BC273:BC274" si="592">SUM(BD273+BH273+BL273+BN273+BQ273)</f>
        <v>0</v>
      </c>
      <c r="BD273" s="11">
        <f t="shared" ref="BD273:BD274" si="593">SUM(BE273:BG273)</f>
        <v>0</v>
      </c>
      <c r="BE273" s="11">
        <v>0</v>
      </c>
      <c r="BF273" s="11">
        <v>0</v>
      </c>
      <c r="BG273" s="11">
        <v>0</v>
      </c>
      <c r="BH273" s="11">
        <f t="shared" ref="BH273:BH274" si="594">SUM(BJ273:BK273)</f>
        <v>0</v>
      </c>
      <c r="BI273" s="11">
        <v>0</v>
      </c>
      <c r="BJ273" s="11">
        <v>0</v>
      </c>
      <c r="BK273" s="11">
        <v>0</v>
      </c>
      <c r="BL273" s="11">
        <v>0</v>
      </c>
      <c r="BM273" s="11">
        <v>0</v>
      </c>
      <c r="BN273" s="11">
        <f t="shared" ref="BN273:BN274" si="595">SUM(BO273)</f>
        <v>0</v>
      </c>
      <c r="BO273" s="11">
        <v>0</v>
      </c>
      <c r="BP273" s="11">
        <v>0</v>
      </c>
      <c r="BQ273" s="11">
        <f t="shared" ref="BQ273:BQ274" si="596">SUM(BR273:CB273)</f>
        <v>0</v>
      </c>
      <c r="BR273" s="11">
        <v>0</v>
      </c>
      <c r="BS273" s="11">
        <v>0</v>
      </c>
      <c r="BT273" s="11">
        <v>0</v>
      </c>
      <c r="BU273" s="11">
        <v>0</v>
      </c>
      <c r="BV273" s="11">
        <v>0</v>
      </c>
      <c r="BW273" s="11">
        <v>0</v>
      </c>
      <c r="BX273" s="11">
        <v>0</v>
      </c>
      <c r="BY273" s="11">
        <v>0</v>
      </c>
      <c r="BZ273" s="11">
        <v>0</v>
      </c>
      <c r="CA273" s="11">
        <v>0</v>
      </c>
      <c r="CB273" s="11">
        <v>0</v>
      </c>
      <c r="CC273" s="11">
        <f t="shared" si="586"/>
        <v>14000</v>
      </c>
      <c r="CD273" s="11">
        <f t="shared" ref="CD273:CD274" si="597">SUM(CE273+CH273+CM273)</f>
        <v>14000</v>
      </c>
      <c r="CE273" s="11">
        <f t="shared" ref="CE273:CE274" si="598">SUM(CF273:CG273)</f>
        <v>14000</v>
      </c>
      <c r="CF273" s="16"/>
      <c r="CG273" s="16">
        <v>14000</v>
      </c>
      <c r="CH273" s="11">
        <f t="shared" ref="CH273:CH274" si="599">SUM(CI273:CL273)</f>
        <v>0</v>
      </c>
      <c r="CI273" s="11">
        <v>0</v>
      </c>
      <c r="CJ273" s="11">
        <v>0</v>
      </c>
      <c r="CK273" s="11">
        <v>0</v>
      </c>
      <c r="CL273" s="11">
        <v>0</v>
      </c>
      <c r="CM273" s="11">
        <f t="shared" si="589"/>
        <v>0</v>
      </c>
      <c r="CN273" s="16"/>
      <c r="CO273" s="11">
        <v>0</v>
      </c>
      <c r="CP273" s="11"/>
      <c r="CQ273" s="11">
        <v>0</v>
      </c>
      <c r="CR273" s="11">
        <v>0</v>
      </c>
      <c r="CS273" s="11">
        <v>0</v>
      </c>
      <c r="CT273" s="11">
        <v>0</v>
      </c>
      <c r="CU273" s="11">
        <f t="shared" ref="CU273:CU274" si="600">SUM(CV273)</f>
        <v>0</v>
      </c>
      <c r="CV273" s="11">
        <f t="shared" ref="CV273:CV274" si="601">SUM(CW273:CX273)</f>
        <v>0</v>
      </c>
      <c r="CW273" s="11">
        <v>0</v>
      </c>
      <c r="CX273" s="12">
        <v>0</v>
      </c>
    </row>
    <row r="274" spans="1:102" ht="31.5" x14ac:dyDescent="0.25">
      <c r="A274" s="13"/>
      <c r="B274" s="14"/>
      <c r="C274" s="46" t="s">
        <v>113</v>
      </c>
      <c r="D274" s="45" t="s">
        <v>395</v>
      </c>
      <c r="E274" s="10">
        <f t="shared" si="578"/>
        <v>1626861</v>
      </c>
      <c r="F274" s="11">
        <f t="shared" si="579"/>
        <v>1441622</v>
      </c>
      <c r="G274" s="11">
        <f t="shared" si="580"/>
        <v>1441622</v>
      </c>
      <c r="H274" s="16"/>
      <c r="I274" s="16"/>
      <c r="J274" s="11">
        <f t="shared" si="581"/>
        <v>623230</v>
      </c>
      <c r="K274" s="16">
        <f>0+1000</f>
        <v>1000</v>
      </c>
      <c r="L274" s="16"/>
      <c r="M274" s="16"/>
      <c r="N274" s="16"/>
      <c r="O274" s="16">
        <f>0+337044</f>
        <v>337044</v>
      </c>
      <c r="P274" s="16">
        <f>0+285186</f>
        <v>285186</v>
      </c>
      <c r="Q274" s="11">
        <f t="shared" si="590"/>
        <v>60000</v>
      </c>
      <c r="R274" s="16"/>
      <c r="S274" s="16">
        <f>0+60000</f>
        <v>60000</v>
      </c>
      <c r="T274" s="16"/>
      <c r="U274" s="16">
        <f>0+75000</f>
        <v>75000</v>
      </c>
      <c r="V274" s="11">
        <f t="shared" si="591"/>
        <v>310883</v>
      </c>
      <c r="W274" s="16">
        <f>0+20200</f>
        <v>20200</v>
      </c>
      <c r="X274" s="16">
        <f>0+54375+8484+14820</f>
        <v>77679</v>
      </c>
      <c r="Y274" s="16">
        <f>0+83322+52869+313</f>
        <v>136504</v>
      </c>
      <c r="Z274" s="16">
        <f>0+14326+1206+530</f>
        <v>16062</v>
      </c>
      <c r="AA274" s="16">
        <f>0+6271</f>
        <v>6271</v>
      </c>
      <c r="AB274" s="16">
        <f>0+50000</f>
        <v>50000</v>
      </c>
      <c r="AC274" s="16"/>
      <c r="AD274" s="16">
        <f>0+4167</f>
        <v>4167</v>
      </c>
      <c r="AE274" s="11"/>
      <c r="AF274" s="11">
        <f t="shared" si="583"/>
        <v>372509</v>
      </c>
      <c r="AG274" s="16"/>
      <c r="AH274" s="16"/>
      <c r="AI274" s="16">
        <f>0+115400</f>
        <v>115400</v>
      </c>
      <c r="AJ274" s="16">
        <f>0+127750-15663</f>
        <v>112087</v>
      </c>
      <c r="AK274" s="16"/>
      <c r="AL274" s="16">
        <f>0+19700</f>
        <v>19700</v>
      </c>
      <c r="AM274" s="16"/>
      <c r="AN274" s="16"/>
      <c r="AO274" s="16"/>
      <c r="AP274" s="16"/>
      <c r="AQ274" s="16"/>
      <c r="AR274" s="16"/>
      <c r="AS274" s="16"/>
      <c r="AT274" s="16">
        <f>0+42400</f>
        <v>42400</v>
      </c>
      <c r="AU274" s="16"/>
      <c r="AV274" s="16"/>
      <c r="AW274" s="16"/>
      <c r="AX274" s="16"/>
      <c r="AY274" s="16"/>
      <c r="AZ274" s="16"/>
      <c r="BA274" s="16"/>
      <c r="BB274" s="16">
        <f>0+82922</f>
        <v>82922</v>
      </c>
      <c r="BC274" s="11">
        <f t="shared" si="592"/>
        <v>0</v>
      </c>
      <c r="BD274" s="11">
        <f t="shared" si="593"/>
        <v>0</v>
      </c>
      <c r="BE274" s="11">
        <v>0</v>
      </c>
      <c r="BF274" s="11">
        <v>0</v>
      </c>
      <c r="BG274" s="11">
        <v>0</v>
      </c>
      <c r="BH274" s="11">
        <f t="shared" si="594"/>
        <v>0</v>
      </c>
      <c r="BI274" s="11">
        <v>0</v>
      </c>
      <c r="BJ274" s="11">
        <v>0</v>
      </c>
      <c r="BK274" s="11">
        <v>0</v>
      </c>
      <c r="BL274" s="11">
        <v>0</v>
      </c>
      <c r="BM274" s="11">
        <v>0</v>
      </c>
      <c r="BN274" s="11">
        <f t="shared" si="595"/>
        <v>0</v>
      </c>
      <c r="BO274" s="11">
        <v>0</v>
      </c>
      <c r="BP274" s="11">
        <v>0</v>
      </c>
      <c r="BQ274" s="11">
        <f t="shared" si="596"/>
        <v>0</v>
      </c>
      <c r="BR274" s="11">
        <v>0</v>
      </c>
      <c r="BS274" s="11">
        <v>0</v>
      </c>
      <c r="BT274" s="11">
        <v>0</v>
      </c>
      <c r="BU274" s="11">
        <v>0</v>
      </c>
      <c r="BV274" s="11">
        <v>0</v>
      </c>
      <c r="BW274" s="11">
        <v>0</v>
      </c>
      <c r="BX274" s="11">
        <v>0</v>
      </c>
      <c r="BY274" s="11">
        <v>0</v>
      </c>
      <c r="BZ274" s="11">
        <v>0</v>
      </c>
      <c r="CA274" s="11">
        <v>0</v>
      </c>
      <c r="CB274" s="11">
        <v>0</v>
      </c>
      <c r="CC274" s="11">
        <f t="shared" si="586"/>
        <v>185239</v>
      </c>
      <c r="CD274" s="11">
        <f t="shared" si="597"/>
        <v>185239</v>
      </c>
      <c r="CE274" s="11">
        <f t="shared" si="598"/>
        <v>185239</v>
      </c>
      <c r="CF274" s="16"/>
      <c r="CG274" s="16">
        <f>0+185239</f>
        <v>185239</v>
      </c>
      <c r="CH274" s="11">
        <f t="shared" si="599"/>
        <v>0</v>
      </c>
      <c r="CI274" s="11">
        <v>0</v>
      </c>
      <c r="CJ274" s="11">
        <v>0</v>
      </c>
      <c r="CK274" s="11">
        <v>0</v>
      </c>
      <c r="CL274" s="11">
        <v>0</v>
      </c>
      <c r="CM274" s="11">
        <f t="shared" si="589"/>
        <v>0</v>
      </c>
      <c r="CN274" s="16"/>
      <c r="CO274" s="11">
        <v>0</v>
      </c>
      <c r="CP274" s="11"/>
      <c r="CQ274" s="11">
        <v>0</v>
      </c>
      <c r="CR274" s="11">
        <v>0</v>
      </c>
      <c r="CS274" s="11">
        <v>0</v>
      </c>
      <c r="CT274" s="11">
        <v>0</v>
      </c>
      <c r="CU274" s="11">
        <f t="shared" si="600"/>
        <v>0</v>
      </c>
      <c r="CV274" s="11">
        <f t="shared" si="601"/>
        <v>0</v>
      </c>
      <c r="CW274" s="11">
        <v>0</v>
      </c>
      <c r="CX274" s="12">
        <v>0</v>
      </c>
    </row>
    <row r="275" spans="1:102" ht="31.5" x14ac:dyDescent="0.25">
      <c r="A275" s="13" t="s">
        <v>1</v>
      </c>
      <c r="B275" s="14" t="s">
        <v>1</v>
      </c>
      <c r="C275" s="46" t="s">
        <v>113</v>
      </c>
      <c r="D275" s="45" t="s">
        <v>396</v>
      </c>
      <c r="E275" s="10">
        <f t="shared" si="578"/>
        <v>1085514</v>
      </c>
      <c r="F275" s="11">
        <f t="shared" si="579"/>
        <v>314429</v>
      </c>
      <c r="G275" s="11">
        <f t="shared" si="580"/>
        <v>314429</v>
      </c>
      <c r="H275" s="16"/>
      <c r="I275" s="16"/>
      <c r="J275" s="11">
        <f t="shared" si="581"/>
        <v>167066</v>
      </c>
      <c r="K275" s="16"/>
      <c r="L275" s="16"/>
      <c r="M275" s="16"/>
      <c r="N275" s="16"/>
      <c r="O275" s="16">
        <f>0+69418</f>
        <v>69418</v>
      </c>
      <c r="P275" s="16">
        <f>0+99180-1532</f>
        <v>97648</v>
      </c>
      <c r="Q275" s="11">
        <f t="shared" si="519"/>
        <v>0</v>
      </c>
      <c r="R275" s="16"/>
      <c r="S275" s="16"/>
      <c r="T275" s="16"/>
      <c r="U275" s="16">
        <f>0+19042</f>
        <v>19042</v>
      </c>
      <c r="V275" s="11">
        <f t="shared" si="582"/>
        <v>63352</v>
      </c>
      <c r="W275" s="16"/>
      <c r="X275" s="16">
        <f>0+35167+1087</f>
        <v>36254</v>
      </c>
      <c r="Y275" s="16">
        <f>0+18927+445</f>
        <v>19372</v>
      </c>
      <c r="Z275" s="16">
        <f>0+4857</f>
        <v>4857</v>
      </c>
      <c r="AA275" s="16">
        <f>0+2869</f>
        <v>2869</v>
      </c>
      <c r="AB275" s="16"/>
      <c r="AC275" s="16"/>
      <c r="AD275" s="16"/>
      <c r="AE275" s="11"/>
      <c r="AF275" s="11">
        <f t="shared" si="583"/>
        <v>64969</v>
      </c>
      <c r="AG275" s="16"/>
      <c r="AH275" s="16"/>
      <c r="AI275" s="16">
        <f>0+12004</f>
        <v>12004</v>
      </c>
      <c r="AJ275" s="16">
        <f>0+5237</f>
        <v>5237</v>
      </c>
      <c r="AK275" s="16"/>
      <c r="AL275" s="16">
        <f>0+1876</f>
        <v>1876</v>
      </c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>
        <f>0+45852</f>
        <v>45852</v>
      </c>
      <c r="BC275" s="11">
        <f t="shared" si="584"/>
        <v>0</v>
      </c>
      <c r="BD275" s="11">
        <f t="shared" si="585"/>
        <v>0</v>
      </c>
      <c r="BE275" s="11">
        <v>0</v>
      </c>
      <c r="BF275" s="11">
        <v>0</v>
      </c>
      <c r="BG275" s="11">
        <v>0</v>
      </c>
      <c r="BH275" s="11">
        <f t="shared" si="521"/>
        <v>0</v>
      </c>
      <c r="BI275" s="11">
        <v>0</v>
      </c>
      <c r="BJ275" s="11">
        <v>0</v>
      </c>
      <c r="BK275" s="11">
        <v>0</v>
      </c>
      <c r="BL275" s="11">
        <v>0</v>
      </c>
      <c r="BM275" s="11">
        <v>0</v>
      </c>
      <c r="BN275" s="11">
        <f t="shared" si="522"/>
        <v>0</v>
      </c>
      <c r="BO275" s="11">
        <v>0</v>
      </c>
      <c r="BP275" s="11">
        <v>0</v>
      </c>
      <c r="BQ275" s="11">
        <f t="shared" si="523"/>
        <v>0</v>
      </c>
      <c r="BR275" s="11">
        <v>0</v>
      </c>
      <c r="BS275" s="11">
        <v>0</v>
      </c>
      <c r="BT275" s="11">
        <v>0</v>
      </c>
      <c r="BU275" s="11">
        <v>0</v>
      </c>
      <c r="BV275" s="11">
        <v>0</v>
      </c>
      <c r="BW275" s="11">
        <v>0</v>
      </c>
      <c r="BX275" s="11">
        <v>0</v>
      </c>
      <c r="BY275" s="11">
        <v>0</v>
      </c>
      <c r="BZ275" s="11">
        <v>0</v>
      </c>
      <c r="CA275" s="11">
        <v>0</v>
      </c>
      <c r="CB275" s="11">
        <v>0</v>
      </c>
      <c r="CC275" s="11">
        <f t="shared" si="586"/>
        <v>771085</v>
      </c>
      <c r="CD275" s="11">
        <f t="shared" si="587"/>
        <v>771085</v>
      </c>
      <c r="CE275" s="11">
        <f t="shared" si="524"/>
        <v>323534</v>
      </c>
      <c r="CF275" s="16"/>
      <c r="CG275" s="16">
        <f>0+323534</f>
        <v>323534</v>
      </c>
      <c r="CH275" s="11">
        <f t="shared" si="588"/>
        <v>0</v>
      </c>
      <c r="CI275" s="11">
        <v>0</v>
      </c>
      <c r="CJ275" s="11">
        <v>0</v>
      </c>
      <c r="CK275" s="11">
        <v>0</v>
      </c>
      <c r="CL275" s="11">
        <v>0</v>
      </c>
      <c r="CM275" s="11">
        <f t="shared" si="589"/>
        <v>447551</v>
      </c>
      <c r="CN275" s="16">
        <f>0+429274+18277</f>
        <v>447551</v>
      </c>
      <c r="CO275" s="11">
        <v>0</v>
      </c>
      <c r="CP275" s="11"/>
      <c r="CQ275" s="11">
        <v>0</v>
      </c>
      <c r="CR275" s="11">
        <v>0</v>
      </c>
      <c r="CS275" s="11">
        <v>0</v>
      </c>
      <c r="CT275" s="11">
        <v>0</v>
      </c>
      <c r="CU275" s="11">
        <f t="shared" si="525"/>
        <v>0</v>
      </c>
      <c r="CV275" s="11">
        <f t="shared" si="526"/>
        <v>0</v>
      </c>
      <c r="CW275" s="11">
        <v>0</v>
      </c>
      <c r="CX275" s="12">
        <v>0</v>
      </c>
    </row>
    <row r="276" spans="1:102" ht="15.75" x14ac:dyDescent="0.25">
      <c r="A276" s="7"/>
      <c r="B276" s="8" t="s">
        <v>397</v>
      </c>
      <c r="C276" s="8" t="s">
        <v>1</v>
      </c>
      <c r="D276" s="9" t="s">
        <v>398</v>
      </c>
      <c r="E276" s="10">
        <f t="shared" ref="E276:BQ276" si="602">SUM(E277:E288)</f>
        <v>51796879</v>
      </c>
      <c r="F276" s="11">
        <f t="shared" si="602"/>
        <v>1115300</v>
      </c>
      <c r="G276" s="11">
        <f t="shared" si="602"/>
        <v>1115300</v>
      </c>
      <c r="H276" s="11">
        <f t="shared" si="602"/>
        <v>0</v>
      </c>
      <c r="I276" s="11">
        <f t="shared" si="602"/>
        <v>0</v>
      </c>
      <c r="J276" s="11">
        <f t="shared" si="602"/>
        <v>0</v>
      </c>
      <c r="K276" s="11">
        <f t="shared" si="602"/>
        <v>0</v>
      </c>
      <c r="L276" s="11">
        <f t="shared" si="602"/>
        <v>0</v>
      </c>
      <c r="M276" s="11">
        <f t="shared" si="602"/>
        <v>0</v>
      </c>
      <c r="N276" s="11">
        <f t="shared" si="602"/>
        <v>0</v>
      </c>
      <c r="O276" s="11">
        <f t="shared" si="602"/>
        <v>0</v>
      </c>
      <c r="P276" s="11">
        <f t="shared" si="602"/>
        <v>0</v>
      </c>
      <c r="Q276" s="11">
        <f t="shared" si="602"/>
        <v>0</v>
      </c>
      <c r="R276" s="11">
        <f t="shared" si="602"/>
        <v>0</v>
      </c>
      <c r="S276" s="11">
        <f t="shared" si="602"/>
        <v>0</v>
      </c>
      <c r="T276" s="11">
        <f t="shared" si="602"/>
        <v>0</v>
      </c>
      <c r="U276" s="11">
        <f t="shared" si="602"/>
        <v>0</v>
      </c>
      <c r="V276" s="11">
        <f t="shared" si="602"/>
        <v>0</v>
      </c>
      <c r="W276" s="11">
        <f t="shared" si="602"/>
        <v>0</v>
      </c>
      <c r="X276" s="11">
        <f t="shared" si="602"/>
        <v>0</v>
      </c>
      <c r="Y276" s="11">
        <f t="shared" si="602"/>
        <v>0</v>
      </c>
      <c r="Z276" s="11">
        <f t="shared" si="602"/>
        <v>0</v>
      </c>
      <c r="AA276" s="11">
        <f t="shared" si="602"/>
        <v>0</v>
      </c>
      <c r="AB276" s="11">
        <f t="shared" si="602"/>
        <v>0</v>
      </c>
      <c r="AC276" s="11">
        <f t="shared" si="602"/>
        <v>0</v>
      </c>
      <c r="AD276" s="11">
        <f t="shared" si="602"/>
        <v>0</v>
      </c>
      <c r="AE276" s="11"/>
      <c r="AF276" s="11">
        <f t="shared" si="602"/>
        <v>1115300</v>
      </c>
      <c r="AG276" s="11">
        <f t="shared" si="602"/>
        <v>0</v>
      </c>
      <c r="AH276" s="11">
        <f t="shared" si="602"/>
        <v>0</v>
      </c>
      <c r="AI276" s="11">
        <f t="shared" si="602"/>
        <v>0</v>
      </c>
      <c r="AJ276" s="11">
        <f t="shared" si="602"/>
        <v>0</v>
      </c>
      <c r="AK276" s="11">
        <f t="shared" si="602"/>
        <v>0</v>
      </c>
      <c r="AL276" s="11">
        <f t="shared" si="602"/>
        <v>0</v>
      </c>
      <c r="AM276" s="11">
        <f t="shared" si="602"/>
        <v>0</v>
      </c>
      <c r="AN276" s="11">
        <f t="shared" si="602"/>
        <v>0</v>
      </c>
      <c r="AO276" s="11">
        <f t="shared" si="602"/>
        <v>0</v>
      </c>
      <c r="AP276" s="11">
        <f t="shared" si="602"/>
        <v>0</v>
      </c>
      <c r="AQ276" s="11">
        <f t="shared" si="602"/>
        <v>0</v>
      </c>
      <c r="AR276" s="11">
        <f t="shared" ref="AR276" si="603">SUM(AR277:AR288)</f>
        <v>0</v>
      </c>
      <c r="AS276" s="11">
        <f t="shared" si="602"/>
        <v>0</v>
      </c>
      <c r="AT276" s="11">
        <f t="shared" si="602"/>
        <v>0</v>
      </c>
      <c r="AU276" s="11">
        <f t="shared" si="602"/>
        <v>0</v>
      </c>
      <c r="AV276" s="11">
        <f t="shared" si="602"/>
        <v>0</v>
      </c>
      <c r="AW276" s="11">
        <f t="shared" si="602"/>
        <v>0</v>
      </c>
      <c r="AX276" s="11">
        <f t="shared" si="602"/>
        <v>0</v>
      </c>
      <c r="AY276" s="11">
        <f t="shared" si="602"/>
        <v>0</v>
      </c>
      <c r="AZ276" s="11">
        <f t="shared" si="602"/>
        <v>0</v>
      </c>
      <c r="BA276" s="11">
        <f t="shared" si="602"/>
        <v>0</v>
      </c>
      <c r="BB276" s="11">
        <f t="shared" si="602"/>
        <v>1115300</v>
      </c>
      <c r="BC276" s="11">
        <f t="shared" si="602"/>
        <v>0</v>
      </c>
      <c r="BD276" s="11">
        <f t="shared" si="602"/>
        <v>0</v>
      </c>
      <c r="BE276" s="11">
        <f t="shared" si="602"/>
        <v>0</v>
      </c>
      <c r="BF276" s="11">
        <f t="shared" si="602"/>
        <v>0</v>
      </c>
      <c r="BG276" s="11">
        <f t="shared" si="602"/>
        <v>0</v>
      </c>
      <c r="BH276" s="11">
        <f t="shared" si="602"/>
        <v>0</v>
      </c>
      <c r="BI276" s="11">
        <f t="shared" si="602"/>
        <v>0</v>
      </c>
      <c r="BJ276" s="11">
        <f t="shared" si="602"/>
        <v>0</v>
      </c>
      <c r="BK276" s="11">
        <f t="shared" si="602"/>
        <v>0</v>
      </c>
      <c r="BL276" s="11">
        <f t="shared" si="602"/>
        <v>0</v>
      </c>
      <c r="BM276" s="11">
        <f t="shared" si="602"/>
        <v>0</v>
      </c>
      <c r="BN276" s="11">
        <f t="shared" si="602"/>
        <v>0</v>
      </c>
      <c r="BO276" s="11">
        <f t="shared" si="602"/>
        <v>0</v>
      </c>
      <c r="BP276" s="11">
        <f t="shared" ref="BP276" si="604">SUM(BP277:BP288)</f>
        <v>0</v>
      </c>
      <c r="BQ276" s="11">
        <f t="shared" si="602"/>
        <v>0</v>
      </c>
      <c r="BR276" s="11">
        <f t="shared" ref="BR276:CX276" si="605">SUM(BR277:BR288)</f>
        <v>0</v>
      </c>
      <c r="BS276" s="11">
        <f t="shared" si="605"/>
        <v>0</v>
      </c>
      <c r="BT276" s="11">
        <f t="shared" si="605"/>
        <v>0</v>
      </c>
      <c r="BU276" s="11">
        <f t="shared" si="605"/>
        <v>0</v>
      </c>
      <c r="BV276" s="11">
        <f t="shared" si="605"/>
        <v>0</v>
      </c>
      <c r="BW276" s="11">
        <f t="shared" si="605"/>
        <v>0</v>
      </c>
      <c r="BX276" s="11">
        <f t="shared" si="605"/>
        <v>0</v>
      </c>
      <c r="BY276" s="11">
        <f t="shared" si="605"/>
        <v>0</v>
      </c>
      <c r="BZ276" s="11">
        <f t="shared" si="605"/>
        <v>0</v>
      </c>
      <c r="CA276" s="11">
        <f t="shared" si="605"/>
        <v>0</v>
      </c>
      <c r="CB276" s="11">
        <f t="shared" si="605"/>
        <v>0</v>
      </c>
      <c r="CC276" s="11">
        <f t="shared" si="605"/>
        <v>50681579</v>
      </c>
      <c r="CD276" s="11">
        <f t="shared" si="605"/>
        <v>0</v>
      </c>
      <c r="CE276" s="11">
        <f t="shared" si="605"/>
        <v>0</v>
      </c>
      <c r="CF276" s="11">
        <f t="shared" si="605"/>
        <v>0</v>
      </c>
      <c r="CG276" s="11">
        <f t="shared" si="605"/>
        <v>0</v>
      </c>
      <c r="CH276" s="11">
        <f t="shared" si="605"/>
        <v>0</v>
      </c>
      <c r="CI276" s="11">
        <f t="shared" si="605"/>
        <v>0</v>
      </c>
      <c r="CJ276" s="11">
        <f t="shared" si="605"/>
        <v>0</v>
      </c>
      <c r="CK276" s="11">
        <f t="shared" si="605"/>
        <v>0</v>
      </c>
      <c r="CL276" s="11">
        <f t="shared" si="605"/>
        <v>0</v>
      </c>
      <c r="CM276" s="11">
        <f t="shared" si="605"/>
        <v>0</v>
      </c>
      <c r="CN276" s="11">
        <f t="shared" si="605"/>
        <v>0</v>
      </c>
      <c r="CO276" s="11">
        <f t="shared" si="605"/>
        <v>0</v>
      </c>
      <c r="CP276" s="11"/>
      <c r="CQ276" s="11">
        <f t="shared" si="605"/>
        <v>0</v>
      </c>
      <c r="CR276" s="11">
        <f t="shared" si="605"/>
        <v>0</v>
      </c>
      <c r="CS276" s="11">
        <f t="shared" si="605"/>
        <v>0</v>
      </c>
      <c r="CT276" s="11">
        <f t="shared" si="605"/>
        <v>50681579</v>
      </c>
      <c r="CU276" s="11">
        <f t="shared" si="605"/>
        <v>0</v>
      </c>
      <c r="CV276" s="11">
        <f t="shared" si="605"/>
        <v>0</v>
      </c>
      <c r="CW276" s="11">
        <f t="shared" si="605"/>
        <v>0</v>
      </c>
      <c r="CX276" s="12">
        <f t="shared" si="605"/>
        <v>0</v>
      </c>
    </row>
    <row r="277" spans="1:102" ht="15.75" x14ac:dyDescent="0.25">
      <c r="A277" s="13" t="s">
        <v>1</v>
      </c>
      <c r="B277" s="14" t="s">
        <v>1</v>
      </c>
      <c r="C277" s="14" t="s">
        <v>82</v>
      </c>
      <c r="D277" s="15" t="s">
        <v>481</v>
      </c>
      <c r="E277" s="10">
        <f t="shared" ref="E277:E288" si="606">SUM(F277+CC277+CU277)</f>
        <v>1115300</v>
      </c>
      <c r="F277" s="11">
        <f t="shared" ref="F277:F288" si="607">SUM(G277+BC277)</f>
        <v>1115300</v>
      </c>
      <c r="G277" s="11">
        <f t="shared" ref="G277:G288" si="608">SUM(H277+I277+J277+Q277+T277+U277+V277+AF277+AE277)</f>
        <v>1115300</v>
      </c>
      <c r="H277" s="11">
        <v>0</v>
      </c>
      <c r="I277" s="11">
        <v>0</v>
      </c>
      <c r="J277" s="11">
        <f t="shared" ref="J277:J288" si="609">SUM(K277:P277)</f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f>SUM(R277:S277)</f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f t="shared" ref="V277:V288" si="610">SUM(W277:AD277)</f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/>
      <c r="AF277" s="11">
        <f t="shared" ref="AF277:AF288" si="611">SUM(AG277:BB277)</f>
        <v>1115300</v>
      </c>
      <c r="AG277" s="11">
        <v>0</v>
      </c>
      <c r="AH277" s="11">
        <v>0</v>
      </c>
      <c r="AI277" s="11">
        <v>0</v>
      </c>
      <c r="AJ277" s="11">
        <v>0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  <c r="AP277" s="11">
        <v>0</v>
      </c>
      <c r="AQ277" s="11">
        <v>0</v>
      </c>
      <c r="AR277" s="11">
        <v>0</v>
      </c>
      <c r="AS277" s="11">
        <v>0</v>
      </c>
      <c r="AT277" s="11">
        <v>0</v>
      </c>
      <c r="AU277" s="11">
        <v>0</v>
      </c>
      <c r="AV277" s="11">
        <v>0</v>
      </c>
      <c r="AW277" s="11">
        <v>0</v>
      </c>
      <c r="AX277" s="11">
        <v>0</v>
      </c>
      <c r="AY277" s="11">
        <v>0</v>
      </c>
      <c r="AZ277" s="11">
        <v>0</v>
      </c>
      <c r="BA277" s="11">
        <v>0</v>
      </c>
      <c r="BB277" s="11">
        <f>901395+213905</f>
        <v>1115300</v>
      </c>
      <c r="BC277" s="11">
        <f t="shared" ref="BC277:BC288" si="612">SUM(BD277+BH277+BL277+BN277+BQ277)</f>
        <v>0</v>
      </c>
      <c r="BD277" s="11">
        <f t="shared" ref="BD277:BD288" si="613">SUM(BE277:BG277)</f>
        <v>0</v>
      </c>
      <c r="BE277" s="11">
        <v>0</v>
      </c>
      <c r="BF277" s="11">
        <v>0</v>
      </c>
      <c r="BG277" s="11">
        <v>0</v>
      </c>
      <c r="BH277" s="11">
        <f>SUM(BJ277:BK277)</f>
        <v>0</v>
      </c>
      <c r="BI277" s="11">
        <v>0</v>
      </c>
      <c r="BJ277" s="11">
        <v>0</v>
      </c>
      <c r="BK277" s="11">
        <v>0</v>
      </c>
      <c r="BL277" s="11">
        <v>0</v>
      </c>
      <c r="BM277" s="11">
        <v>0</v>
      </c>
      <c r="BN277" s="11">
        <f>SUM(BO277)</f>
        <v>0</v>
      </c>
      <c r="BO277" s="11">
        <v>0</v>
      </c>
      <c r="BP277" s="11">
        <v>0</v>
      </c>
      <c r="BQ277" s="11">
        <f>SUM(BR277:CB277)</f>
        <v>0</v>
      </c>
      <c r="BR277" s="11">
        <v>0</v>
      </c>
      <c r="BS277" s="11">
        <v>0</v>
      </c>
      <c r="BT277" s="11">
        <v>0</v>
      </c>
      <c r="BU277" s="11">
        <v>0</v>
      </c>
      <c r="BV277" s="11">
        <v>0</v>
      </c>
      <c r="BW277" s="11">
        <v>0</v>
      </c>
      <c r="BX277" s="11">
        <v>0</v>
      </c>
      <c r="BY277" s="11">
        <v>0</v>
      </c>
      <c r="BZ277" s="11">
        <v>0</v>
      </c>
      <c r="CA277" s="11">
        <v>0</v>
      </c>
      <c r="CB277" s="11">
        <v>0</v>
      </c>
      <c r="CC277" s="11">
        <f t="shared" ref="CC277:CC288" si="614">SUM(CD277+CT277)</f>
        <v>0</v>
      </c>
      <c r="CD277" s="11">
        <f t="shared" ref="CD277:CD288" si="615">SUM(CE277+CH277+CM277)</f>
        <v>0</v>
      </c>
      <c r="CE277" s="11">
        <f>SUM(CF277:CG277)</f>
        <v>0</v>
      </c>
      <c r="CF277" s="11">
        <v>0</v>
      </c>
      <c r="CG277" s="11">
        <v>0</v>
      </c>
      <c r="CH277" s="11">
        <f t="shared" ref="CH277:CH288" si="616">SUM(CI277:CL277)</f>
        <v>0</v>
      </c>
      <c r="CI277" s="11">
        <v>0</v>
      </c>
      <c r="CJ277" s="11">
        <v>0</v>
      </c>
      <c r="CK277" s="11">
        <v>0</v>
      </c>
      <c r="CL277" s="11">
        <v>0</v>
      </c>
      <c r="CM277" s="11">
        <f t="shared" ref="CM277:CM288" si="617">SUM(CN277:CQ277)</f>
        <v>0</v>
      </c>
      <c r="CN277" s="11">
        <v>0</v>
      </c>
      <c r="CO277" s="11">
        <v>0</v>
      </c>
      <c r="CP277" s="11"/>
      <c r="CQ277" s="11">
        <v>0</v>
      </c>
      <c r="CR277" s="11">
        <v>0</v>
      </c>
      <c r="CS277" s="11">
        <v>0</v>
      </c>
      <c r="CT277" s="11"/>
      <c r="CU277" s="11">
        <f>SUM(CV277)</f>
        <v>0</v>
      </c>
      <c r="CV277" s="11">
        <f>SUM(CW277:CX277)</f>
        <v>0</v>
      </c>
      <c r="CW277" s="11">
        <v>0</v>
      </c>
      <c r="CX277" s="12">
        <v>0</v>
      </c>
    </row>
    <row r="278" spans="1:102" ht="31.5" x14ac:dyDescent="0.25">
      <c r="A278" s="13" t="s">
        <v>1</v>
      </c>
      <c r="B278" s="14" t="s">
        <v>1</v>
      </c>
      <c r="C278" s="14" t="s">
        <v>84</v>
      </c>
      <c r="D278" s="15" t="s">
        <v>482</v>
      </c>
      <c r="E278" s="10">
        <f t="shared" si="606"/>
        <v>8234982</v>
      </c>
      <c r="F278" s="11">
        <f t="shared" si="607"/>
        <v>0</v>
      </c>
      <c r="G278" s="11">
        <f t="shared" si="608"/>
        <v>0</v>
      </c>
      <c r="H278" s="11">
        <v>0</v>
      </c>
      <c r="I278" s="11">
        <v>0</v>
      </c>
      <c r="J278" s="11">
        <f t="shared" si="609"/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f t="shared" si="519"/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f t="shared" si="610"/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f t="shared" si="611"/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  <c r="AL278" s="11">
        <v>0</v>
      </c>
      <c r="AM278" s="11">
        <v>0</v>
      </c>
      <c r="AN278" s="11">
        <v>0</v>
      </c>
      <c r="AO278" s="11">
        <v>0</v>
      </c>
      <c r="AP278" s="11">
        <v>0</v>
      </c>
      <c r="AQ278" s="11">
        <v>0</v>
      </c>
      <c r="AR278" s="11">
        <v>0</v>
      </c>
      <c r="AS278" s="11">
        <v>0</v>
      </c>
      <c r="AT278" s="11">
        <v>0</v>
      </c>
      <c r="AU278" s="11">
        <v>0</v>
      </c>
      <c r="AV278" s="11">
        <v>0</v>
      </c>
      <c r="AW278" s="11">
        <v>0</v>
      </c>
      <c r="AX278" s="11">
        <v>0</v>
      </c>
      <c r="AY278" s="11">
        <v>0</v>
      </c>
      <c r="AZ278" s="11">
        <v>0</v>
      </c>
      <c r="BA278" s="11">
        <v>0</v>
      </c>
      <c r="BB278" s="11">
        <v>0</v>
      </c>
      <c r="BC278" s="11">
        <f t="shared" si="612"/>
        <v>0</v>
      </c>
      <c r="BD278" s="11">
        <f t="shared" si="613"/>
        <v>0</v>
      </c>
      <c r="BE278" s="11">
        <v>0</v>
      </c>
      <c r="BF278" s="11">
        <v>0</v>
      </c>
      <c r="BG278" s="11">
        <v>0</v>
      </c>
      <c r="BH278" s="11">
        <f t="shared" si="521"/>
        <v>0</v>
      </c>
      <c r="BI278" s="11">
        <v>0</v>
      </c>
      <c r="BJ278" s="11">
        <v>0</v>
      </c>
      <c r="BK278" s="11">
        <v>0</v>
      </c>
      <c r="BL278" s="11">
        <v>0</v>
      </c>
      <c r="BM278" s="11">
        <v>0</v>
      </c>
      <c r="BN278" s="11">
        <f t="shared" si="522"/>
        <v>0</v>
      </c>
      <c r="BO278" s="11">
        <v>0</v>
      </c>
      <c r="BP278" s="11">
        <v>0</v>
      </c>
      <c r="BQ278" s="11">
        <f t="shared" si="523"/>
        <v>0</v>
      </c>
      <c r="BR278" s="11">
        <v>0</v>
      </c>
      <c r="BS278" s="11">
        <v>0</v>
      </c>
      <c r="BT278" s="11">
        <v>0</v>
      </c>
      <c r="BU278" s="11">
        <v>0</v>
      </c>
      <c r="BV278" s="11">
        <v>0</v>
      </c>
      <c r="BW278" s="11">
        <v>0</v>
      </c>
      <c r="BX278" s="11">
        <v>0</v>
      </c>
      <c r="BY278" s="11">
        <v>0</v>
      </c>
      <c r="BZ278" s="11">
        <v>0</v>
      </c>
      <c r="CA278" s="11">
        <v>0</v>
      </c>
      <c r="CB278" s="11">
        <v>0</v>
      </c>
      <c r="CC278" s="11">
        <f t="shared" si="614"/>
        <v>8234982</v>
      </c>
      <c r="CD278" s="11">
        <f t="shared" si="615"/>
        <v>0</v>
      </c>
      <c r="CE278" s="11">
        <f t="shared" si="524"/>
        <v>0</v>
      </c>
      <c r="CF278" s="11">
        <v>0</v>
      </c>
      <c r="CG278" s="11">
        <v>0</v>
      </c>
      <c r="CH278" s="11">
        <f t="shared" si="616"/>
        <v>0</v>
      </c>
      <c r="CI278" s="11">
        <v>0</v>
      </c>
      <c r="CJ278" s="11">
        <v>0</v>
      </c>
      <c r="CK278" s="11">
        <v>0</v>
      </c>
      <c r="CL278" s="11">
        <v>0</v>
      </c>
      <c r="CM278" s="11">
        <f t="shared" si="617"/>
        <v>0</v>
      </c>
      <c r="CN278" s="11">
        <v>0</v>
      </c>
      <c r="CO278" s="11">
        <v>0</v>
      </c>
      <c r="CP278" s="11"/>
      <c r="CQ278" s="11">
        <v>0</v>
      </c>
      <c r="CR278" s="11">
        <v>0</v>
      </c>
      <c r="CS278" s="11">
        <v>0</v>
      </c>
      <c r="CT278" s="16">
        <v>8234982</v>
      </c>
      <c r="CU278" s="11">
        <f t="shared" si="525"/>
        <v>0</v>
      </c>
      <c r="CV278" s="11">
        <f t="shared" si="526"/>
        <v>0</v>
      </c>
      <c r="CW278" s="11">
        <v>0</v>
      </c>
      <c r="CX278" s="12">
        <v>0</v>
      </c>
    </row>
    <row r="279" spans="1:102" ht="47.25" x14ac:dyDescent="0.25">
      <c r="A279" s="13" t="s">
        <v>1</v>
      </c>
      <c r="B279" s="14" t="s">
        <v>1</v>
      </c>
      <c r="C279" s="26" t="s">
        <v>84</v>
      </c>
      <c r="D279" s="25" t="s">
        <v>483</v>
      </c>
      <c r="E279" s="10">
        <f t="shared" si="606"/>
        <v>156000</v>
      </c>
      <c r="F279" s="11">
        <f t="shared" si="607"/>
        <v>0</v>
      </c>
      <c r="G279" s="11">
        <f t="shared" si="608"/>
        <v>0</v>
      </c>
      <c r="H279" s="11">
        <v>0</v>
      </c>
      <c r="I279" s="11">
        <v>0</v>
      </c>
      <c r="J279" s="11">
        <f t="shared" si="609"/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f>SUM(R279:S279)</f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f t="shared" si="610"/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f t="shared" si="611"/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0</v>
      </c>
      <c r="AL279" s="11">
        <v>0</v>
      </c>
      <c r="AM279" s="11">
        <v>0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  <c r="AU279" s="11">
        <v>0</v>
      </c>
      <c r="AV279" s="11">
        <v>0</v>
      </c>
      <c r="AW279" s="11">
        <v>0</v>
      </c>
      <c r="AX279" s="11">
        <v>0</v>
      </c>
      <c r="AY279" s="11">
        <v>0</v>
      </c>
      <c r="AZ279" s="11">
        <v>0</v>
      </c>
      <c r="BA279" s="11">
        <v>0</v>
      </c>
      <c r="BB279" s="11">
        <v>0</v>
      </c>
      <c r="BC279" s="11">
        <f t="shared" si="612"/>
        <v>0</v>
      </c>
      <c r="BD279" s="11">
        <f t="shared" si="613"/>
        <v>0</v>
      </c>
      <c r="BE279" s="11">
        <v>0</v>
      </c>
      <c r="BF279" s="11">
        <v>0</v>
      </c>
      <c r="BG279" s="11">
        <v>0</v>
      </c>
      <c r="BH279" s="11">
        <f>SUM(BJ279:BK279)</f>
        <v>0</v>
      </c>
      <c r="BI279" s="11">
        <v>0</v>
      </c>
      <c r="BJ279" s="11">
        <v>0</v>
      </c>
      <c r="BK279" s="11">
        <v>0</v>
      </c>
      <c r="BL279" s="11">
        <v>0</v>
      </c>
      <c r="BM279" s="11">
        <v>0</v>
      </c>
      <c r="BN279" s="11">
        <f>SUM(BO279)</f>
        <v>0</v>
      </c>
      <c r="BO279" s="11">
        <v>0</v>
      </c>
      <c r="BP279" s="11">
        <v>0</v>
      </c>
      <c r="BQ279" s="11">
        <f>SUM(BR279:CB279)</f>
        <v>0</v>
      </c>
      <c r="BR279" s="11">
        <v>0</v>
      </c>
      <c r="BS279" s="11">
        <v>0</v>
      </c>
      <c r="BT279" s="11">
        <v>0</v>
      </c>
      <c r="BU279" s="11">
        <v>0</v>
      </c>
      <c r="BV279" s="11">
        <v>0</v>
      </c>
      <c r="BW279" s="11">
        <v>0</v>
      </c>
      <c r="BX279" s="11">
        <v>0</v>
      </c>
      <c r="BY279" s="11">
        <v>0</v>
      </c>
      <c r="BZ279" s="11">
        <v>0</v>
      </c>
      <c r="CA279" s="11">
        <v>0</v>
      </c>
      <c r="CB279" s="11">
        <v>0</v>
      </c>
      <c r="CC279" s="11">
        <f t="shared" si="614"/>
        <v>156000</v>
      </c>
      <c r="CD279" s="11">
        <f t="shared" si="615"/>
        <v>0</v>
      </c>
      <c r="CE279" s="11">
        <f>SUM(CF279:CG279)</f>
        <v>0</v>
      </c>
      <c r="CF279" s="11">
        <v>0</v>
      </c>
      <c r="CG279" s="11">
        <v>0</v>
      </c>
      <c r="CH279" s="11">
        <f t="shared" si="616"/>
        <v>0</v>
      </c>
      <c r="CI279" s="11">
        <v>0</v>
      </c>
      <c r="CJ279" s="11">
        <v>0</v>
      </c>
      <c r="CK279" s="11">
        <v>0</v>
      </c>
      <c r="CL279" s="11">
        <v>0</v>
      </c>
      <c r="CM279" s="11">
        <f t="shared" si="617"/>
        <v>0</v>
      </c>
      <c r="CN279" s="11">
        <v>0</v>
      </c>
      <c r="CO279" s="11">
        <v>0</v>
      </c>
      <c r="CP279" s="11"/>
      <c r="CQ279" s="11">
        <v>0</v>
      </c>
      <c r="CR279" s="11">
        <v>0</v>
      </c>
      <c r="CS279" s="11">
        <v>0</v>
      </c>
      <c r="CT279" s="16">
        <v>156000</v>
      </c>
      <c r="CU279" s="11">
        <f>SUM(CV279)</f>
        <v>0</v>
      </c>
      <c r="CV279" s="11">
        <f>SUM(CW279:CX279)</f>
        <v>0</v>
      </c>
      <c r="CW279" s="11">
        <v>0</v>
      </c>
      <c r="CX279" s="12">
        <v>0</v>
      </c>
    </row>
    <row r="280" spans="1:102" ht="31.5" x14ac:dyDescent="0.25">
      <c r="A280" s="13" t="s">
        <v>1</v>
      </c>
      <c r="B280" s="14" t="s">
        <v>1</v>
      </c>
      <c r="C280" s="26" t="s">
        <v>86</v>
      </c>
      <c r="D280" s="25" t="s">
        <v>484</v>
      </c>
      <c r="E280" s="10">
        <f t="shared" si="606"/>
        <v>2500000</v>
      </c>
      <c r="F280" s="11">
        <f t="shared" si="607"/>
        <v>0</v>
      </c>
      <c r="G280" s="11">
        <f t="shared" si="608"/>
        <v>0</v>
      </c>
      <c r="H280" s="11">
        <v>0</v>
      </c>
      <c r="I280" s="11">
        <v>0</v>
      </c>
      <c r="J280" s="11">
        <f t="shared" si="609"/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f>SUM(R280:S280)</f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f t="shared" si="610"/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f t="shared" si="611"/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  <c r="AL280" s="11">
        <v>0</v>
      </c>
      <c r="AM280" s="11">
        <v>0</v>
      </c>
      <c r="AN280" s="11">
        <v>0</v>
      </c>
      <c r="AO280" s="11">
        <v>0</v>
      </c>
      <c r="AP280" s="11">
        <v>0</v>
      </c>
      <c r="AQ280" s="11">
        <v>0</v>
      </c>
      <c r="AR280" s="11">
        <v>0</v>
      </c>
      <c r="AS280" s="11">
        <v>0</v>
      </c>
      <c r="AT280" s="11">
        <v>0</v>
      </c>
      <c r="AU280" s="11">
        <v>0</v>
      </c>
      <c r="AV280" s="11">
        <v>0</v>
      </c>
      <c r="AW280" s="11">
        <v>0</v>
      </c>
      <c r="AX280" s="11">
        <v>0</v>
      </c>
      <c r="AY280" s="11">
        <v>0</v>
      </c>
      <c r="AZ280" s="11">
        <v>0</v>
      </c>
      <c r="BA280" s="11">
        <v>0</v>
      </c>
      <c r="BB280" s="11">
        <v>0</v>
      </c>
      <c r="BC280" s="11">
        <f t="shared" si="612"/>
        <v>0</v>
      </c>
      <c r="BD280" s="11">
        <f t="shared" si="613"/>
        <v>0</v>
      </c>
      <c r="BE280" s="11">
        <v>0</v>
      </c>
      <c r="BF280" s="11">
        <v>0</v>
      </c>
      <c r="BG280" s="11">
        <v>0</v>
      </c>
      <c r="BH280" s="11">
        <f>SUM(BJ280:BK280)</f>
        <v>0</v>
      </c>
      <c r="BI280" s="11">
        <v>0</v>
      </c>
      <c r="BJ280" s="11">
        <v>0</v>
      </c>
      <c r="BK280" s="11">
        <v>0</v>
      </c>
      <c r="BL280" s="11">
        <v>0</v>
      </c>
      <c r="BM280" s="11">
        <v>0</v>
      </c>
      <c r="BN280" s="11">
        <f>SUM(BO280)</f>
        <v>0</v>
      </c>
      <c r="BO280" s="11">
        <v>0</v>
      </c>
      <c r="BP280" s="11">
        <v>0</v>
      </c>
      <c r="BQ280" s="11">
        <f>SUM(BR280:CB280)</f>
        <v>0</v>
      </c>
      <c r="BR280" s="11">
        <v>0</v>
      </c>
      <c r="BS280" s="11">
        <v>0</v>
      </c>
      <c r="BT280" s="11">
        <v>0</v>
      </c>
      <c r="BU280" s="11">
        <v>0</v>
      </c>
      <c r="BV280" s="11">
        <v>0</v>
      </c>
      <c r="BW280" s="11">
        <v>0</v>
      </c>
      <c r="BX280" s="11">
        <v>0</v>
      </c>
      <c r="BY280" s="11">
        <v>0</v>
      </c>
      <c r="BZ280" s="11">
        <v>0</v>
      </c>
      <c r="CA280" s="11">
        <v>0</v>
      </c>
      <c r="CB280" s="11">
        <v>0</v>
      </c>
      <c r="CC280" s="11">
        <f t="shared" si="614"/>
        <v>2500000</v>
      </c>
      <c r="CD280" s="11">
        <f t="shared" si="615"/>
        <v>0</v>
      </c>
      <c r="CE280" s="11">
        <f>SUM(CF280:CG280)</f>
        <v>0</v>
      </c>
      <c r="CF280" s="11">
        <v>0</v>
      </c>
      <c r="CG280" s="11">
        <v>0</v>
      </c>
      <c r="CH280" s="11">
        <f t="shared" si="616"/>
        <v>0</v>
      </c>
      <c r="CI280" s="11">
        <v>0</v>
      </c>
      <c r="CJ280" s="11">
        <v>0</v>
      </c>
      <c r="CK280" s="11">
        <v>0</v>
      </c>
      <c r="CL280" s="11">
        <v>0</v>
      </c>
      <c r="CM280" s="11">
        <f t="shared" si="617"/>
        <v>0</v>
      </c>
      <c r="CN280" s="11">
        <v>0</v>
      </c>
      <c r="CO280" s="11">
        <v>0</v>
      </c>
      <c r="CP280" s="11"/>
      <c r="CQ280" s="11">
        <v>0</v>
      </c>
      <c r="CR280" s="11">
        <v>0</v>
      </c>
      <c r="CS280" s="11">
        <v>0</v>
      </c>
      <c r="CT280" s="16">
        <v>2500000</v>
      </c>
      <c r="CU280" s="11">
        <f>SUM(CV280)</f>
        <v>0</v>
      </c>
      <c r="CV280" s="11">
        <f>SUM(CW280:CX280)</f>
        <v>0</v>
      </c>
      <c r="CW280" s="11">
        <v>0</v>
      </c>
      <c r="CX280" s="12">
        <v>0</v>
      </c>
    </row>
    <row r="281" spans="1:102" ht="15.75" x14ac:dyDescent="0.25">
      <c r="A281" s="13" t="s">
        <v>1</v>
      </c>
      <c r="B281" s="14" t="s">
        <v>1</v>
      </c>
      <c r="C281" s="14" t="s">
        <v>86</v>
      </c>
      <c r="D281" s="15" t="s">
        <v>399</v>
      </c>
      <c r="E281" s="10">
        <f t="shared" si="606"/>
        <v>7889352</v>
      </c>
      <c r="F281" s="11">
        <f t="shared" si="607"/>
        <v>0</v>
      </c>
      <c r="G281" s="11">
        <f t="shared" si="608"/>
        <v>0</v>
      </c>
      <c r="H281" s="11">
        <v>0</v>
      </c>
      <c r="I281" s="11">
        <v>0</v>
      </c>
      <c r="J281" s="11">
        <f t="shared" si="609"/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f>SUM(R281:S281)</f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f t="shared" si="610"/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f t="shared" si="611"/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0</v>
      </c>
      <c r="AR281" s="11">
        <v>0</v>
      </c>
      <c r="AS281" s="11">
        <v>0</v>
      </c>
      <c r="AT281" s="11">
        <v>0</v>
      </c>
      <c r="AU281" s="11">
        <v>0</v>
      </c>
      <c r="AV281" s="11">
        <v>0</v>
      </c>
      <c r="AW281" s="11">
        <v>0</v>
      </c>
      <c r="AX281" s="11">
        <v>0</v>
      </c>
      <c r="AY281" s="11">
        <v>0</v>
      </c>
      <c r="AZ281" s="11">
        <v>0</v>
      </c>
      <c r="BA281" s="11">
        <v>0</v>
      </c>
      <c r="BB281" s="11">
        <v>0</v>
      </c>
      <c r="BC281" s="11">
        <f t="shared" si="612"/>
        <v>0</v>
      </c>
      <c r="BD281" s="11">
        <f t="shared" si="613"/>
        <v>0</v>
      </c>
      <c r="BE281" s="11">
        <v>0</v>
      </c>
      <c r="BF281" s="11">
        <v>0</v>
      </c>
      <c r="BG281" s="11">
        <v>0</v>
      </c>
      <c r="BH281" s="11">
        <f>SUM(BJ281:BK281)</f>
        <v>0</v>
      </c>
      <c r="BI281" s="11">
        <v>0</v>
      </c>
      <c r="BJ281" s="11">
        <v>0</v>
      </c>
      <c r="BK281" s="11">
        <v>0</v>
      </c>
      <c r="BL281" s="11">
        <v>0</v>
      </c>
      <c r="BM281" s="11">
        <v>0</v>
      </c>
      <c r="BN281" s="11">
        <f>SUM(BO281)</f>
        <v>0</v>
      </c>
      <c r="BO281" s="11">
        <v>0</v>
      </c>
      <c r="BP281" s="11">
        <v>0</v>
      </c>
      <c r="BQ281" s="11">
        <f>SUM(BR281:CB281)</f>
        <v>0</v>
      </c>
      <c r="BR281" s="11">
        <v>0</v>
      </c>
      <c r="BS281" s="11">
        <v>0</v>
      </c>
      <c r="BT281" s="11">
        <v>0</v>
      </c>
      <c r="BU281" s="11">
        <v>0</v>
      </c>
      <c r="BV281" s="11">
        <v>0</v>
      </c>
      <c r="BW281" s="11">
        <v>0</v>
      </c>
      <c r="BX281" s="11">
        <v>0</v>
      </c>
      <c r="BY281" s="11">
        <v>0</v>
      </c>
      <c r="BZ281" s="11">
        <v>0</v>
      </c>
      <c r="CA281" s="11">
        <v>0</v>
      </c>
      <c r="CB281" s="11">
        <v>0</v>
      </c>
      <c r="CC281" s="11">
        <f t="shared" si="614"/>
        <v>7889352</v>
      </c>
      <c r="CD281" s="11">
        <f t="shared" si="615"/>
        <v>0</v>
      </c>
      <c r="CE281" s="11">
        <f>SUM(CF281:CG281)</f>
        <v>0</v>
      </c>
      <c r="CF281" s="11">
        <v>0</v>
      </c>
      <c r="CG281" s="11">
        <v>0</v>
      </c>
      <c r="CH281" s="11">
        <f t="shared" si="616"/>
        <v>0</v>
      </c>
      <c r="CI281" s="11">
        <v>0</v>
      </c>
      <c r="CJ281" s="11">
        <v>0</v>
      </c>
      <c r="CK281" s="11">
        <v>0</v>
      </c>
      <c r="CL281" s="11">
        <v>0</v>
      </c>
      <c r="CM281" s="11">
        <f t="shared" si="617"/>
        <v>0</v>
      </c>
      <c r="CN281" s="11">
        <v>0</v>
      </c>
      <c r="CO281" s="11">
        <v>0</v>
      </c>
      <c r="CP281" s="11"/>
      <c r="CQ281" s="11">
        <v>0</v>
      </c>
      <c r="CR281" s="11">
        <v>0</v>
      </c>
      <c r="CS281" s="11">
        <v>0</v>
      </c>
      <c r="CT281" s="16">
        <v>7889352</v>
      </c>
      <c r="CU281" s="11">
        <f>SUM(CV281)</f>
        <v>0</v>
      </c>
      <c r="CV281" s="11">
        <f>SUM(CW281:CX281)</f>
        <v>0</v>
      </c>
      <c r="CW281" s="11">
        <v>0</v>
      </c>
      <c r="CX281" s="12">
        <v>0</v>
      </c>
    </row>
    <row r="282" spans="1:102" ht="15.75" x14ac:dyDescent="0.25">
      <c r="A282" s="13" t="s">
        <v>1</v>
      </c>
      <c r="B282" s="14" t="s">
        <v>1</v>
      </c>
      <c r="C282" s="14" t="s">
        <v>86</v>
      </c>
      <c r="D282" s="15" t="s">
        <v>400</v>
      </c>
      <c r="E282" s="10">
        <f t="shared" si="606"/>
        <v>14871466</v>
      </c>
      <c r="F282" s="11">
        <f t="shared" si="607"/>
        <v>0</v>
      </c>
      <c r="G282" s="11">
        <f t="shared" si="608"/>
        <v>0</v>
      </c>
      <c r="H282" s="11">
        <v>0</v>
      </c>
      <c r="I282" s="11">
        <v>0</v>
      </c>
      <c r="J282" s="11">
        <f t="shared" si="609"/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f>SUM(R282:S282)</f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f t="shared" si="610"/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f t="shared" si="611"/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11">
        <v>0</v>
      </c>
      <c r="AV282" s="11">
        <v>0</v>
      </c>
      <c r="AW282" s="11">
        <v>0</v>
      </c>
      <c r="AX282" s="11">
        <v>0</v>
      </c>
      <c r="AY282" s="11">
        <v>0</v>
      </c>
      <c r="AZ282" s="11">
        <v>0</v>
      </c>
      <c r="BA282" s="11">
        <v>0</v>
      </c>
      <c r="BB282" s="11">
        <v>0</v>
      </c>
      <c r="BC282" s="11">
        <f t="shared" si="612"/>
        <v>0</v>
      </c>
      <c r="BD282" s="11">
        <f t="shared" si="613"/>
        <v>0</v>
      </c>
      <c r="BE282" s="11">
        <v>0</v>
      </c>
      <c r="BF282" s="11">
        <v>0</v>
      </c>
      <c r="BG282" s="11">
        <v>0</v>
      </c>
      <c r="BH282" s="11">
        <f>SUM(BJ282:BK282)</f>
        <v>0</v>
      </c>
      <c r="BI282" s="11">
        <v>0</v>
      </c>
      <c r="BJ282" s="11">
        <v>0</v>
      </c>
      <c r="BK282" s="11">
        <v>0</v>
      </c>
      <c r="BL282" s="11">
        <v>0</v>
      </c>
      <c r="BM282" s="11">
        <v>0</v>
      </c>
      <c r="BN282" s="11">
        <f>SUM(BO282)</f>
        <v>0</v>
      </c>
      <c r="BO282" s="11">
        <v>0</v>
      </c>
      <c r="BP282" s="11">
        <v>0</v>
      </c>
      <c r="BQ282" s="11">
        <f>SUM(BR282:CB282)</f>
        <v>0</v>
      </c>
      <c r="BR282" s="11">
        <v>0</v>
      </c>
      <c r="BS282" s="11">
        <v>0</v>
      </c>
      <c r="BT282" s="11">
        <v>0</v>
      </c>
      <c r="BU282" s="11">
        <v>0</v>
      </c>
      <c r="BV282" s="11">
        <v>0</v>
      </c>
      <c r="BW282" s="11">
        <v>0</v>
      </c>
      <c r="BX282" s="11">
        <v>0</v>
      </c>
      <c r="BY282" s="11">
        <v>0</v>
      </c>
      <c r="BZ282" s="11">
        <v>0</v>
      </c>
      <c r="CA282" s="11">
        <v>0</v>
      </c>
      <c r="CB282" s="11">
        <v>0</v>
      </c>
      <c r="CC282" s="11">
        <f t="shared" si="614"/>
        <v>14871466</v>
      </c>
      <c r="CD282" s="11">
        <f t="shared" si="615"/>
        <v>0</v>
      </c>
      <c r="CE282" s="11">
        <f>SUM(CF282:CG282)</f>
        <v>0</v>
      </c>
      <c r="CF282" s="11">
        <v>0</v>
      </c>
      <c r="CG282" s="11">
        <v>0</v>
      </c>
      <c r="CH282" s="11">
        <f t="shared" si="616"/>
        <v>0</v>
      </c>
      <c r="CI282" s="11">
        <v>0</v>
      </c>
      <c r="CJ282" s="11">
        <v>0</v>
      </c>
      <c r="CK282" s="11">
        <v>0</v>
      </c>
      <c r="CL282" s="11">
        <v>0</v>
      </c>
      <c r="CM282" s="11">
        <f t="shared" si="617"/>
        <v>0</v>
      </c>
      <c r="CN282" s="11">
        <v>0</v>
      </c>
      <c r="CO282" s="11">
        <v>0</v>
      </c>
      <c r="CP282" s="11"/>
      <c r="CQ282" s="11">
        <v>0</v>
      </c>
      <c r="CR282" s="11">
        <v>0</v>
      </c>
      <c r="CS282" s="11">
        <v>0</v>
      </c>
      <c r="CT282" s="16">
        <v>14871466</v>
      </c>
      <c r="CU282" s="11">
        <f>SUM(CV282)</f>
        <v>0</v>
      </c>
      <c r="CV282" s="11">
        <f>SUM(CW282:CX282)</f>
        <v>0</v>
      </c>
      <c r="CW282" s="11">
        <v>0</v>
      </c>
      <c r="CX282" s="12">
        <v>0</v>
      </c>
    </row>
    <row r="283" spans="1:102" ht="31.5" x14ac:dyDescent="0.25">
      <c r="A283" s="13" t="s">
        <v>1</v>
      </c>
      <c r="B283" s="14" t="s">
        <v>1</v>
      </c>
      <c r="C283" s="14" t="s">
        <v>86</v>
      </c>
      <c r="D283" s="15" t="s">
        <v>401</v>
      </c>
      <c r="E283" s="10">
        <f t="shared" si="606"/>
        <v>6628889</v>
      </c>
      <c r="F283" s="11">
        <f t="shared" si="607"/>
        <v>0</v>
      </c>
      <c r="G283" s="11">
        <f t="shared" si="608"/>
        <v>0</v>
      </c>
      <c r="H283" s="11">
        <v>0</v>
      </c>
      <c r="I283" s="11">
        <v>0</v>
      </c>
      <c r="J283" s="11">
        <f t="shared" si="609"/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f>SUM(R283:S283)</f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f t="shared" si="610"/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f t="shared" si="611"/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  <c r="AU283" s="11">
        <v>0</v>
      </c>
      <c r="AV283" s="11">
        <v>0</v>
      </c>
      <c r="AW283" s="11">
        <v>0</v>
      </c>
      <c r="AX283" s="11">
        <v>0</v>
      </c>
      <c r="AY283" s="11">
        <v>0</v>
      </c>
      <c r="AZ283" s="11">
        <v>0</v>
      </c>
      <c r="BA283" s="11">
        <v>0</v>
      </c>
      <c r="BB283" s="11">
        <v>0</v>
      </c>
      <c r="BC283" s="11">
        <f t="shared" si="612"/>
        <v>0</v>
      </c>
      <c r="BD283" s="11">
        <f t="shared" si="613"/>
        <v>0</v>
      </c>
      <c r="BE283" s="11">
        <v>0</v>
      </c>
      <c r="BF283" s="11">
        <v>0</v>
      </c>
      <c r="BG283" s="11">
        <v>0</v>
      </c>
      <c r="BH283" s="11">
        <f>SUM(BJ283:BK283)</f>
        <v>0</v>
      </c>
      <c r="BI283" s="11">
        <v>0</v>
      </c>
      <c r="BJ283" s="11">
        <v>0</v>
      </c>
      <c r="BK283" s="11">
        <v>0</v>
      </c>
      <c r="BL283" s="11">
        <v>0</v>
      </c>
      <c r="BM283" s="11">
        <v>0</v>
      </c>
      <c r="BN283" s="11">
        <f>SUM(BO283)</f>
        <v>0</v>
      </c>
      <c r="BO283" s="11">
        <v>0</v>
      </c>
      <c r="BP283" s="11">
        <v>0</v>
      </c>
      <c r="BQ283" s="11">
        <f>SUM(BR283:CB283)</f>
        <v>0</v>
      </c>
      <c r="BR283" s="11">
        <v>0</v>
      </c>
      <c r="BS283" s="11">
        <v>0</v>
      </c>
      <c r="BT283" s="11">
        <v>0</v>
      </c>
      <c r="BU283" s="11">
        <v>0</v>
      </c>
      <c r="BV283" s="11">
        <v>0</v>
      </c>
      <c r="BW283" s="11">
        <v>0</v>
      </c>
      <c r="BX283" s="11">
        <v>0</v>
      </c>
      <c r="BY283" s="11">
        <v>0</v>
      </c>
      <c r="BZ283" s="11">
        <v>0</v>
      </c>
      <c r="CA283" s="11">
        <v>0</v>
      </c>
      <c r="CB283" s="11">
        <v>0</v>
      </c>
      <c r="CC283" s="11">
        <f t="shared" si="614"/>
        <v>6628889</v>
      </c>
      <c r="CD283" s="11">
        <f t="shared" si="615"/>
        <v>0</v>
      </c>
      <c r="CE283" s="11">
        <f>SUM(CF283:CG283)</f>
        <v>0</v>
      </c>
      <c r="CF283" s="11">
        <v>0</v>
      </c>
      <c r="CG283" s="11">
        <v>0</v>
      </c>
      <c r="CH283" s="11">
        <f t="shared" si="616"/>
        <v>0</v>
      </c>
      <c r="CI283" s="11">
        <v>0</v>
      </c>
      <c r="CJ283" s="11">
        <v>0</v>
      </c>
      <c r="CK283" s="11">
        <v>0</v>
      </c>
      <c r="CL283" s="11">
        <v>0</v>
      </c>
      <c r="CM283" s="11">
        <f t="shared" si="617"/>
        <v>0</v>
      </c>
      <c r="CN283" s="11">
        <v>0</v>
      </c>
      <c r="CO283" s="11">
        <v>0</v>
      </c>
      <c r="CP283" s="11"/>
      <c r="CQ283" s="11">
        <v>0</v>
      </c>
      <c r="CR283" s="11">
        <v>0</v>
      </c>
      <c r="CS283" s="11">
        <v>0</v>
      </c>
      <c r="CT283" s="16">
        <v>6628889</v>
      </c>
      <c r="CU283" s="11">
        <f>SUM(CV283)</f>
        <v>0</v>
      </c>
      <c r="CV283" s="11">
        <f>SUM(CW283:CX283)</f>
        <v>0</v>
      </c>
      <c r="CW283" s="11">
        <v>0</v>
      </c>
      <c r="CX283" s="12">
        <v>0</v>
      </c>
    </row>
    <row r="284" spans="1:102" ht="15.75" x14ac:dyDescent="0.25">
      <c r="A284" s="13" t="s">
        <v>1</v>
      </c>
      <c r="B284" s="14" t="s">
        <v>1</v>
      </c>
      <c r="C284" s="14" t="s">
        <v>86</v>
      </c>
      <c r="D284" s="15" t="s">
        <v>402</v>
      </c>
      <c r="E284" s="10">
        <f t="shared" si="606"/>
        <v>5848152</v>
      </c>
      <c r="F284" s="11">
        <f t="shared" si="607"/>
        <v>0</v>
      </c>
      <c r="G284" s="11">
        <f t="shared" si="608"/>
        <v>0</v>
      </c>
      <c r="H284" s="11">
        <v>0</v>
      </c>
      <c r="I284" s="11">
        <v>0</v>
      </c>
      <c r="J284" s="11">
        <f t="shared" si="609"/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f t="shared" si="519"/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f t="shared" si="610"/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f t="shared" si="611"/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  <c r="AZ284" s="11">
        <v>0</v>
      </c>
      <c r="BA284" s="11">
        <v>0</v>
      </c>
      <c r="BB284" s="11">
        <v>0</v>
      </c>
      <c r="BC284" s="11">
        <f t="shared" si="612"/>
        <v>0</v>
      </c>
      <c r="BD284" s="11">
        <f t="shared" si="613"/>
        <v>0</v>
      </c>
      <c r="BE284" s="11">
        <v>0</v>
      </c>
      <c r="BF284" s="11">
        <v>0</v>
      </c>
      <c r="BG284" s="11">
        <v>0</v>
      </c>
      <c r="BH284" s="11">
        <f t="shared" si="521"/>
        <v>0</v>
      </c>
      <c r="BI284" s="11">
        <v>0</v>
      </c>
      <c r="BJ284" s="11">
        <v>0</v>
      </c>
      <c r="BK284" s="11">
        <v>0</v>
      </c>
      <c r="BL284" s="11">
        <v>0</v>
      </c>
      <c r="BM284" s="11">
        <v>0</v>
      </c>
      <c r="BN284" s="11">
        <f t="shared" si="522"/>
        <v>0</v>
      </c>
      <c r="BO284" s="11">
        <v>0</v>
      </c>
      <c r="BP284" s="11">
        <v>0</v>
      </c>
      <c r="BQ284" s="11">
        <f t="shared" si="523"/>
        <v>0</v>
      </c>
      <c r="BR284" s="11">
        <v>0</v>
      </c>
      <c r="BS284" s="11">
        <v>0</v>
      </c>
      <c r="BT284" s="11">
        <v>0</v>
      </c>
      <c r="BU284" s="11">
        <v>0</v>
      </c>
      <c r="BV284" s="11">
        <v>0</v>
      </c>
      <c r="BW284" s="11">
        <v>0</v>
      </c>
      <c r="BX284" s="11">
        <v>0</v>
      </c>
      <c r="BY284" s="11">
        <v>0</v>
      </c>
      <c r="BZ284" s="11">
        <v>0</v>
      </c>
      <c r="CA284" s="11">
        <v>0</v>
      </c>
      <c r="CB284" s="11">
        <v>0</v>
      </c>
      <c r="CC284" s="11">
        <f t="shared" si="614"/>
        <v>5848152</v>
      </c>
      <c r="CD284" s="11">
        <f t="shared" si="615"/>
        <v>0</v>
      </c>
      <c r="CE284" s="11">
        <f t="shared" si="524"/>
        <v>0</v>
      </c>
      <c r="CF284" s="11">
        <v>0</v>
      </c>
      <c r="CG284" s="11">
        <v>0</v>
      </c>
      <c r="CH284" s="11">
        <f t="shared" si="616"/>
        <v>0</v>
      </c>
      <c r="CI284" s="11">
        <v>0</v>
      </c>
      <c r="CJ284" s="11">
        <v>0</v>
      </c>
      <c r="CK284" s="11">
        <v>0</v>
      </c>
      <c r="CL284" s="11">
        <v>0</v>
      </c>
      <c r="CM284" s="11">
        <f t="shared" si="617"/>
        <v>0</v>
      </c>
      <c r="CN284" s="11">
        <v>0</v>
      </c>
      <c r="CO284" s="11">
        <v>0</v>
      </c>
      <c r="CP284" s="11"/>
      <c r="CQ284" s="11">
        <v>0</v>
      </c>
      <c r="CR284" s="11">
        <v>0</v>
      </c>
      <c r="CS284" s="11">
        <v>0</v>
      </c>
      <c r="CT284" s="16">
        <v>5848152</v>
      </c>
      <c r="CU284" s="11">
        <f t="shared" si="525"/>
        <v>0</v>
      </c>
      <c r="CV284" s="11">
        <f t="shared" si="526"/>
        <v>0</v>
      </c>
      <c r="CW284" s="11">
        <v>0</v>
      </c>
      <c r="CX284" s="12">
        <v>0</v>
      </c>
    </row>
    <row r="285" spans="1:102" ht="15.75" x14ac:dyDescent="0.25">
      <c r="A285" s="13" t="s">
        <v>1</v>
      </c>
      <c r="B285" s="14" t="s">
        <v>1</v>
      </c>
      <c r="C285" s="14" t="s">
        <v>88</v>
      </c>
      <c r="D285" s="15" t="s">
        <v>403</v>
      </c>
      <c r="E285" s="10">
        <f t="shared" si="606"/>
        <v>253100</v>
      </c>
      <c r="F285" s="11">
        <f t="shared" si="607"/>
        <v>0</v>
      </c>
      <c r="G285" s="11">
        <f t="shared" si="608"/>
        <v>0</v>
      </c>
      <c r="H285" s="11">
        <v>0</v>
      </c>
      <c r="I285" s="11">
        <v>0</v>
      </c>
      <c r="J285" s="11">
        <f t="shared" si="609"/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f t="shared" si="519"/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f t="shared" si="610"/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f t="shared" si="611"/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  <c r="AU285" s="11">
        <v>0</v>
      </c>
      <c r="AV285" s="11">
        <v>0</v>
      </c>
      <c r="AW285" s="11">
        <v>0</v>
      </c>
      <c r="AX285" s="11">
        <v>0</v>
      </c>
      <c r="AY285" s="11">
        <v>0</v>
      </c>
      <c r="AZ285" s="11">
        <v>0</v>
      </c>
      <c r="BA285" s="11">
        <v>0</v>
      </c>
      <c r="BB285" s="11">
        <v>0</v>
      </c>
      <c r="BC285" s="11">
        <f t="shared" si="612"/>
        <v>0</v>
      </c>
      <c r="BD285" s="11">
        <f t="shared" si="613"/>
        <v>0</v>
      </c>
      <c r="BE285" s="11">
        <v>0</v>
      </c>
      <c r="BF285" s="11">
        <v>0</v>
      </c>
      <c r="BG285" s="11">
        <v>0</v>
      </c>
      <c r="BH285" s="11">
        <f t="shared" si="521"/>
        <v>0</v>
      </c>
      <c r="BI285" s="11">
        <v>0</v>
      </c>
      <c r="BJ285" s="11">
        <v>0</v>
      </c>
      <c r="BK285" s="11">
        <v>0</v>
      </c>
      <c r="BL285" s="11">
        <v>0</v>
      </c>
      <c r="BM285" s="11">
        <v>0</v>
      </c>
      <c r="BN285" s="11">
        <f t="shared" si="522"/>
        <v>0</v>
      </c>
      <c r="BO285" s="11">
        <v>0</v>
      </c>
      <c r="BP285" s="11">
        <v>0</v>
      </c>
      <c r="BQ285" s="11">
        <f t="shared" si="523"/>
        <v>0</v>
      </c>
      <c r="BR285" s="11">
        <v>0</v>
      </c>
      <c r="BS285" s="11">
        <v>0</v>
      </c>
      <c r="BT285" s="11">
        <v>0</v>
      </c>
      <c r="BU285" s="11">
        <v>0</v>
      </c>
      <c r="BV285" s="11">
        <v>0</v>
      </c>
      <c r="BW285" s="11">
        <v>0</v>
      </c>
      <c r="BX285" s="11">
        <v>0</v>
      </c>
      <c r="BY285" s="11">
        <v>0</v>
      </c>
      <c r="BZ285" s="11">
        <v>0</v>
      </c>
      <c r="CA285" s="11">
        <v>0</v>
      </c>
      <c r="CB285" s="11">
        <v>0</v>
      </c>
      <c r="CC285" s="11">
        <f t="shared" si="614"/>
        <v>253100</v>
      </c>
      <c r="CD285" s="11">
        <f t="shared" si="615"/>
        <v>0</v>
      </c>
      <c r="CE285" s="11">
        <f t="shared" si="524"/>
        <v>0</v>
      </c>
      <c r="CF285" s="11">
        <v>0</v>
      </c>
      <c r="CG285" s="11">
        <v>0</v>
      </c>
      <c r="CH285" s="11">
        <f t="shared" si="616"/>
        <v>0</v>
      </c>
      <c r="CI285" s="11">
        <v>0</v>
      </c>
      <c r="CJ285" s="11">
        <v>0</v>
      </c>
      <c r="CK285" s="11">
        <v>0</v>
      </c>
      <c r="CL285" s="11">
        <v>0</v>
      </c>
      <c r="CM285" s="11">
        <f t="shared" si="617"/>
        <v>0</v>
      </c>
      <c r="CN285" s="11">
        <v>0</v>
      </c>
      <c r="CO285" s="11">
        <v>0</v>
      </c>
      <c r="CP285" s="11"/>
      <c r="CQ285" s="11">
        <v>0</v>
      </c>
      <c r="CR285" s="11">
        <v>0</v>
      </c>
      <c r="CS285" s="11">
        <v>0</v>
      </c>
      <c r="CT285" s="16">
        <v>253100</v>
      </c>
      <c r="CU285" s="11">
        <f t="shared" si="525"/>
        <v>0</v>
      </c>
      <c r="CV285" s="11">
        <f t="shared" si="526"/>
        <v>0</v>
      </c>
      <c r="CW285" s="11">
        <v>0</v>
      </c>
      <c r="CX285" s="12">
        <v>0</v>
      </c>
    </row>
    <row r="286" spans="1:102" ht="31.5" x14ac:dyDescent="0.25">
      <c r="A286" s="13" t="s">
        <v>1</v>
      </c>
      <c r="B286" s="14" t="s">
        <v>1</v>
      </c>
      <c r="C286" s="14" t="s">
        <v>208</v>
      </c>
      <c r="D286" s="15" t="s">
        <v>485</v>
      </c>
      <c r="E286" s="10">
        <f t="shared" si="606"/>
        <v>912435</v>
      </c>
      <c r="F286" s="11">
        <f t="shared" si="607"/>
        <v>0</v>
      </c>
      <c r="G286" s="11">
        <f t="shared" si="608"/>
        <v>0</v>
      </c>
      <c r="H286" s="11">
        <v>0</v>
      </c>
      <c r="I286" s="11">
        <v>0</v>
      </c>
      <c r="J286" s="11">
        <f t="shared" si="609"/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f t="shared" si="519"/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f t="shared" si="610"/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f t="shared" si="611"/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  <c r="AU286" s="11">
        <v>0</v>
      </c>
      <c r="AV286" s="11">
        <v>0</v>
      </c>
      <c r="AW286" s="11">
        <v>0</v>
      </c>
      <c r="AX286" s="11">
        <v>0</v>
      </c>
      <c r="AY286" s="11">
        <v>0</v>
      </c>
      <c r="AZ286" s="11">
        <v>0</v>
      </c>
      <c r="BA286" s="11">
        <v>0</v>
      </c>
      <c r="BB286" s="11">
        <v>0</v>
      </c>
      <c r="BC286" s="11">
        <f t="shared" si="612"/>
        <v>0</v>
      </c>
      <c r="BD286" s="11">
        <f t="shared" si="613"/>
        <v>0</v>
      </c>
      <c r="BE286" s="11">
        <v>0</v>
      </c>
      <c r="BF286" s="11">
        <v>0</v>
      </c>
      <c r="BG286" s="11">
        <v>0</v>
      </c>
      <c r="BH286" s="11">
        <f t="shared" si="521"/>
        <v>0</v>
      </c>
      <c r="BI286" s="11">
        <v>0</v>
      </c>
      <c r="BJ286" s="11">
        <v>0</v>
      </c>
      <c r="BK286" s="11">
        <v>0</v>
      </c>
      <c r="BL286" s="11">
        <v>0</v>
      </c>
      <c r="BM286" s="11">
        <v>0</v>
      </c>
      <c r="BN286" s="11">
        <f t="shared" si="522"/>
        <v>0</v>
      </c>
      <c r="BO286" s="11">
        <v>0</v>
      </c>
      <c r="BP286" s="11">
        <v>0</v>
      </c>
      <c r="BQ286" s="11">
        <f t="shared" si="523"/>
        <v>0</v>
      </c>
      <c r="BR286" s="11">
        <v>0</v>
      </c>
      <c r="BS286" s="11">
        <v>0</v>
      </c>
      <c r="BT286" s="11">
        <v>0</v>
      </c>
      <c r="BU286" s="11">
        <v>0</v>
      </c>
      <c r="BV286" s="11">
        <v>0</v>
      </c>
      <c r="BW286" s="11">
        <v>0</v>
      </c>
      <c r="BX286" s="11">
        <v>0</v>
      </c>
      <c r="BY286" s="11">
        <v>0</v>
      </c>
      <c r="BZ286" s="11">
        <v>0</v>
      </c>
      <c r="CA286" s="11">
        <v>0</v>
      </c>
      <c r="CB286" s="11">
        <v>0</v>
      </c>
      <c r="CC286" s="11">
        <f t="shared" si="614"/>
        <v>912435</v>
      </c>
      <c r="CD286" s="11">
        <f t="shared" si="615"/>
        <v>0</v>
      </c>
      <c r="CE286" s="11">
        <f t="shared" si="524"/>
        <v>0</v>
      </c>
      <c r="CF286" s="11">
        <v>0</v>
      </c>
      <c r="CG286" s="11">
        <v>0</v>
      </c>
      <c r="CH286" s="11">
        <f t="shared" si="616"/>
        <v>0</v>
      </c>
      <c r="CI286" s="11">
        <v>0</v>
      </c>
      <c r="CJ286" s="11">
        <v>0</v>
      </c>
      <c r="CK286" s="11">
        <v>0</v>
      </c>
      <c r="CL286" s="11">
        <v>0</v>
      </c>
      <c r="CM286" s="11">
        <f t="shared" si="617"/>
        <v>0</v>
      </c>
      <c r="CN286" s="11">
        <v>0</v>
      </c>
      <c r="CO286" s="11">
        <v>0</v>
      </c>
      <c r="CP286" s="11"/>
      <c r="CQ286" s="11">
        <v>0</v>
      </c>
      <c r="CR286" s="11">
        <v>0</v>
      </c>
      <c r="CS286" s="11">
        <v>0</v>
      </c>
      <c r="CT286" s="16">
        <v>912435</v>
      </c>
      <c r="CU286" s="11">
        <f t="shared" si="525"/>
        <v>0</v>
      </c>
      <c r="CV286" s="11">
        <f t="shared" si="526"/>
        <v>0</v>
      </c>
      <c r="CW286" s="11">
        <v>0</v>
      </c>
      <c r="CX286" s="12">
        <v>0</v>
      </c>
    </row>
    <row r="287" spans="1:102" ht="31.5" x14ac:dyDescent="0.25">
      <c r="A287" s="13" t="s">
        <v>1</v>
      </c>
      <c r="B287" s="14" t="s">
        <v>1</v>
      </c>
      <c r="C287" s="14" t="s">
        <v>345</v>
      </c>
      <c r="D287" s="15" t="s">
        <v>486</v>
      </c>
      <c r="E287" s="10">
        <f t="shared" si="606"/>
        <v>437396</v>
      </c>
      <c r="F287" s="11">
        <f t="shared" si="607"/>
        <v>0</v>
      </c>
      <c r="G287" s="11">
        <f t="shared" si="608"/>
        <v>0</v>
      </c>
      <c r="H287" s="11">
        <v>0</v>
      </c>
      <c r="I287" s="11">
        <v>0</v>
      </c>
      <c r="J287" s="11">
        <f t="shared" si="609"/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f t="shared" si="519"/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f t="shared" si="610"/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f t="shared" si="611"/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  <c r="AU287" s="11">
        <v>0</v>
      </c>
      <c r="AV287" s="11">
        <v>0</v>
      </c>
      <c r="AW287" s="11">
        <v>0</v>
      </c>
      <c r="AX287" s="11">
        <v>0</v>
      </c>
      <c r="AY287" s="11">
        <v>0</v>
      </c>
      <c r="AZ287" s="11">
        <v>0</v>
      </c>
      <c r="BA287" s="11">
        <v>0</v>
      </c>
      <c r="BB287" s="11">
        <v>0</v>
      </c>
      <c r="BC287" s="11">
        <f t="shared" si="612"/>
        <v>0</v>
      </c>
      <c r="BD287" s="11">
        <f t="shared" si="613"/>
        <v>0</v>
      </c>
      <c r="BE287" s="11">
        <v>0</v>
      </c>
      <c r="BF287" s="11">
        <v>0</v>
      </c>
      <c r="BG287" s="11">
        <v>0</v>
      </c>
      <c r="BH287" s="11">
        <f t="shared" si="521"/>
        <v>0</v>
      </c>
      <c r="BI287" s="11">
        <v>0</v>
      </c>
      <c r="BJ287" s="11">
        <v>0</v>
      </c>
      <c r="BK287" s="11">
        <v>0</v>
      </c>
      <c r="BL287" s="11">
        <v>0</v>
      </c>
      <c r="BM287" s="11">
        <v>0</v>
      </c>
      <c r="BN287" s="11">
        <f t="shared" si="522"/>
        <v>0</v>
      </c>
      <c r="BO287" s="11">
        <v>0</v>
      </c>
      <c r="BP287" s="11">
        <v>0</v>
      </c>
      <c r="BQ287" s="11">
        <f t="shared" si="523"/>
        <v>0</v>
      </c>
      <c r="BR287" s="11">
        <v>0</v>
      </c>
      <c r="BS287" s="11">
        <v>0</v>
      </c>
      <c r="BT287" s="11">
        <v>0</v>
      </c>
      <c r="BU287" s="11">
        <v>0</v>
      </c>
      <c r="BV287" s="11">
        <v>0</v>
      </c>
      <c r="BW287" s="11">
        <v>0</v>
      </c>
      <c r="BX287" s="11">
        <v>0</v>
      </c>
      <c r="BY287" s="11">
        <v>0</v>
      </c>
      <c r="BZ287" s="11">
        <v>0</v>
      </c>
      <c r="CA287" s="11">
        <v>0</v>
      </c>
      <c r="CB287" s="11">
        <v>0</v>
      </c>
      <c r="CC287" s="11">
        <f t="shared" si="614"/>
        <v>437396</v>
      </c>
      <c r="CD287" s="11">
        <f t="shared" si="615"/>
        <v>0</v>
      </c>
      <c r="CE287" s="11">
        <f t="shared" si="524"/>
        <v>0</v>
      </c>
      <c r="CF287" s="11">
        <v>0</v>
      </c>
      <c r="CG287" s="11">
        <v>0</v>
      </c>
      <c r="CH287" s="11">
        <f t="shared" si="616"/>
        <v>0</v>
      </c>
      <c r="CI287" s="11">
        <v>0</v>
      </c>
      <c r="CJ287" s="11">
        <v>0</v>
      </c>
      <c r="CK287" s="11">
        <v>0</v>
      </c>
      <c r="CL287" s="11">
        <v>0</v>
      </c>
      <c r="CM287" s="11">
        <f t="shared" si="617"/>
        <v>0</v>
      </c>
      <c r="CN287" s="11">
        <v>0</v>
      </c>
      <c r="CO287" s="11">
        <v>0</v>
      </c>
      <c r="CP287" s="11"/>
      <c r="CQ287" s="11">
        <v>0</v>
      </c>
      <c r="CR287" s="11">
        <v>0</v>
      </c>
      <c r="CS287" s="11">
        <v>0</v>
      </c>
      <c r="CT287" s="16">
        <v>437396</v>
      </c>
      <c r="CU287" s="11">
        <f t="shared" si="525"/>
        <v>0</v>
      </c>
      <c r="CV287" s="11">
        <f t="shared" si="526"/>
        <v>0</v>
      </c>
      <c r="CW287" s="11">
        <v>0</v>
      </c>
      <c r="CX287" s="12">
        <v>0</v>
      </c>
    </row>
    <row r="288" spans="1:102" ht="31.5" x14ac:dyDescent="0.25">
      <c r="A288" s="13" t="s">
        <v>1</v>
      </c>
      <c r="B288" s="14" t="s">
        <v>1</v>
      </c>
      <c r="C288" s="14" t="s">
        <v>345</v>
      </c>
      <c r="D288" s="15" t="s">
        <v>487</v>
      </c>
      <c r="E288" s="10">
        <f t="shared" si="606"/>
        <v>2949807</v>
      </c>
      <c r="F288" s="11">
        <f t="shared" si="607"/>
        <v>0</v>
      </c>
      <c r="G288" s="11">
        <f t="shared" si="608"/>
        <v>0</v>
      </c>
      <c r="H288" s="11">
        <v>0</v>
      </c>
      <c r="I288" s="11">
        <v>0</v>
      </c>
      <c r="J288" s="11">
        <f t="shared" si="609"/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f t="shared" si="519"/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f t="shared" si="610"/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f t="shared" si="611"/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  <c r="AU288" s="11">
        <v>0</v>
      </c>
      <c r="AV288" s="11">
        <v>0</v>
      </c>
      <c r="AW288" s="11">
        <v>0</v>
      </c>
      <c r="AX288" s="11">
        <v>0</v>
      </c>
      <c r="AY288" s="11">
        <v>0</v>
      </c>
      <c r="AZ288" s="11">
        <v>0</v>
      </c>
      <c r="BA288" s="11">
        <v>0</v>
      </c>
      <c r="BB288" s="11">
        <v>0</v>
      </c>
      <c r="BC288" s="11">
        <f t="shared" si="612"/>
        <v>0</v>
      </c>
      <c r="BD288" s="11">
        <f t="shared" si="613"/>
        <v>0</v>
      </c>
      <c r="BE288" s="11">
        <v>0</v>
      </c>
      <c r="BF288" s="11">
        <v>0</v>
      </c>
      <c r="BG288" s="11">
        <v>0</v>
      </c>
      <c r="BH288" s="11">
        <f t="shared" si="521"/>
        <v>0</v>
      </c>
      <c r="BI288" s="11">
        <v>0</v>
      </c>
      <c r="BJ288" s="11">
        <v>0</v>
      </c>
      <c r="BK288" s="11">
        <v>0</v>
      </c>
      <c r="BL288" s="11">
        <v>0</v>
      </c>
      <c r="BM288" s="11">
        <v>0</v>
      </c>
      <c r="BN288" s="11">
        <f t="shared" si="522"/>
        <v>0</v>
      </c>
      <c r="BO288" s="11">
        <v>0</v>
      </c>
      <c r="BP288" s="11">
        <v>0</v>
      </c>
      <c r="BQ288" s="11">
        <f t="shared" si="523"/>
        <v>0</v>
      </c>
      <c r="BR288" s="11">
        <v>0</v>
      </c>
      <c r="BS288" s="11">
        <v>0</v>
      </c>
      <c r="BT288" s="11">
        <v>0</v>
      </c>
      <c r="BU288" s="11">
        <v>0</v>
      </c>
      <c r="BV288" s="11">
        <v>0</v>
      </c>
      <c r="BW288" s="11">
        <v>0</v>
      </c>
      <c r="BX288" s="11">
        <v>0</v>
      </c>
      <c r="BY288" s="11">
        <v>0</v>
      </c>
      <c r="BZ288" s="11">
        <v>0</v>
      </c>
      <c r="CA288" s="11">
        <v>0</v>
      </c>
      <c r="CB288" s="11">
        <v>0</v>
      </c>
      <c r="CC288" s="11">
        <f t="shared" si="614"/>
        <v>2949807</v>
      </c>
      <c r="CD288" s="11">
        <f t="shared" si="615"/>
        <v>0</v>
      </c>
      <c r="CE288" s="11">
        <f t="shared" si="524"/>
        <v>0</v>
      </c>
      <c r="CF288" s="11">
        <v>0</v>
      </c>
      <c r="CG288" s="11">
        <v>0</v>
      </c>
      <c r="CH288" s="11">
        <f t="shared" si="616"/>
        <v>0</v>
      </c>
      <c r="CI288" s="11">
        <v>0</v>
      </c>
      <c r="CJ288" s="11">
        <v>0</v>
      </c>
      <c r="CK288" s="11">
        <v>0</v>
      </c>
      <c r="CL288" s="11">
        <v>0</v>
      </c>
      <c r="CM288" s="11">
        <f t="shared" si="617"/>
        <v>0</v>
      </c>
      <c r="CN288" s="11">
        <v>0</v>
      </c>
      <c r="CO288" s="11">
        <v>0</v>
      </c>
      <c r="CP288" s="11"/>
      <c r="CQ288" s="11">
        <v>0</v>
      </c>
      <c r="CR288" s="11">
        <v>0</v>
      </c>
      <c r="CS288" s="11">
        <v>0</v>
      </c>
      <c r="CT288" s="16">
        <f>2840937+108870</f>
        <v>2949807</v>
      </c>
      <c r="CU288" s="11">
        <f t="shared" si="525"/>
        <v>0</v>
      </c>
      <c r="CV288" s="11">
        <f t="shared" si="526"/>
        <v>0</v>
      </c>
      <c r="CW288" s="11">
        <v>0</v>
      </c>
      <c r="CX288" s="12">
        <v>0</v>
      </c>
    </row>
    <row r="289" spans="1:102" ht="15.75" x14ac:dyDescent="0.25">
      <c r="A289" s="7"/>
      <c r="B289" s="8" t="s">
        <v>404</v>
      </c>
      <c r="C289" s="8" t="s">
        <v>1</v>
      </c>
      <c r="D289" s="9" t="s">
        <v>405</v>
      </c>
      <c r="E289" s="10">
        <f t="shared" ref="E289:BT291" si="618">SUM(E290)</f>
        <v>7168320</v>
      </c>
      <c r="F289" s="11">
        <f t="shared" si="618"/>
        <v>0</v>
      </c>
      <c r="G289" s="11">
        <f t="shared" si="618"/>
        <v>0</v>
      </c>
      <c r="H289" s="11">
        <f t="shared" si="618"/>
        <v>0</v>
      </c>
      <c r="I289" s="11">
        <f t="shared" si="618"/>
        <v>0</v>
      </c>
      <c r="J289" s="11">
        <f t="shared" si="618"/>
        <v>0</v>
      </c>
      <c r="K289" s="11">
        <f t="shared" si="618"/>
        <v>0</v>
      </c>
      <c r="L289" s="11">
        <f t="shared" si="618"/>
        <v>0</v>
      </c>
      <c r="M289" s="11">
        <f t="shared" si="618"/>
        <v>0</v>
      </c>
      <c r="N289" s="11">
        <f t="shared" si="618"/>
        <v>0</v>
      </c>
      <c r="O289" s="11">
        <f t="shared" si="618"/>
        <v>0</v>
      </c>
      <c r="P289" s="11">
        <f t="shared" si="618"/>
        <v>0</v>
      </c>
      <c r="Q289" s="11">
        <f t="shared" si="618"/>
        <v>0</v>
      </c>
      <c r="R289" s="11">
        <f t="shared" si="618"/>
        <v>0</v>
      </c>
      <c r="S289" s="11">
        <f t="shared" si="618"/>
        <v>0</v>
      </c>
      <c r="T289" s="11">
        <f t="shared" si="618"/>
        <v>0</v>
      </c>
      <c r="U289" s="11">
        <f t="shared" si="618"/>
        <v>0</v>
      </c>
      <c r="V289" s="11">
        <f t="shared" si="618"/>
        <v>0</v>
      </c>
      <c r="W289" s="11">
        <f t="shared" si="618"/>
        <v>0</v>
      </c>
      <c r="X289" s="11">
        <f t="shared" si="618"/>
        <v>0</v>
      </c>
      <c r="Y289" s="11">
        <f t="shared" si="618"/>
        <v>0</v>
      </c>
      <c r="Z289" s="11">
        <f t="shared" si="618"/>
        <v>0</v>
      </c>
      <c r="AA289" s="11">
        <f t="shared" si="618"/>
        <v>0</v>
      </c>
      <c r="AB289" s="11">
        <f t="shared" si="618"/>
        <v>0</v>
      </c>
      <c r="AC289" s="11">
        <f t="shared" si="618"/>
        <v>0</v>
      </c>
      <c r="AD289" s="11">
        <f t="shared" si="618"/>
        <v>0</v>
      </c>
      <c r="AE289" s="11">
        <f t="shared" si="618"/>
        <v>0</v>
      </c>
      <c r="AF289" s="11">
        <f t="shared" si="618"/>
        <v>0</v>
      </c>
      <c r="AG289" s="11">
        <f t="shared" si="618"/>
        <v>0</v>
      </c>
      <c r="AH289" s="11">
        <f t="shared" si="618"/>
        <v>0</v>
      </c>
      <c r="AI289" s="11">
        <f t="shared" si="618"/>
        <v>0</v>
      </c>
      <c r="AJ289" s="11">
        <f t="shared" si="618"/>
        <v>0</v>
      </c>
      <c r="AK289" s="11">
        <f t="shared" si="618"/>
        <v>0</v>
      </c>
      <c r="AL289" s="11">
        <f t="shared" si="618"/>
        <v>0</v>
      </c>
      <c r="AM289" s="11">
        <f t="shared" si="618"/>
        <v>0</v>
      </c>
      <c r="AN289" s="11">
        <f t="shared" si="618"/>
        <v>0</v>
      </c>
      <c r="AO289" s="11">
        <f t="shared" si="618"/>
        <v>0</v>
      </c>
      <c r="AP289" s="11">
        <f t="shared" si="618"/>
        <v>0</v>
      </c>
      <c r="AQ289" s="11">
        <f t="shared" si="618"/>
        <v>0</v>
      </c>
      <c r="AR289" s="11">
        <f t="shared" si="618"/>
        <v>0</v>
      </c>
      <c r="AS289" s="11">
        <f t="shared" si="618"/>
        <v>0</v>
      </c>
      <c r="AT289" s="11">
        <f t="shared" si="618"/>
        <v>0</v>
      </c>
      <c r="AU289" s="11">
        <f t="shared" si="618"/>
        <v>0</v>
      </c>
      <c r="AV289" s="11">
        <f t="shared" si="618"/>
        <v>0</v>
      </c>
      <c r="AW289" s="11">
        <f t="shared" si="618"/>
        <v>0</v>
      </c>
      <c r="AX289" s="11">
        <f t="shared" si="618"/>
        <v>0</v>
      </c>
      <c r="AY289" s="11">
        <f t="shared" si="618"/>
        <v>0</v>
      </c>
      <c r="AZ289" s="11">
        <f t="shared" si="618"/>
        <v>0</v>
      </c>
      <c r="BA289" s="11">
        <f t="shared" si="618"/>
        <v>0</v>
      </c>
      <c r="BB289" s="11">
        <f t="shared" si="618"/>
        <v>0</v>
      </c>
      <c r="BC289" s="11">
        <f t="shared" si="618"/>
        <v>0</v>
      </c>
      <c r="BD289" s="11">
        <f t="shared" si="618"/>
        <v>0</v>
      </c>
      <c r="BE289" s="11">
        <f t="shared" si="618"/>
        <v>0</v>
      </c>
      <c r="BF289" s="11">
        <f t="shared" si="618"/>
        <v>0</v>
      </c>
      <c r="BG289" s="11">
        <f t="shared" si="618"/>
        <v>0</v>
      </c>
      <c r="BH289" s="11">
        <f t="shared" si="618"/>
        <v>0</v>
      </c>
      <c r="BI289" s="11">
        <f t="shared" si="618"/>
        <v>0</v>
      </c>
      <c r="BJ289" s="11">
        <f t="shared" si="618"/>
        <v>0</v>
      </c>
      <c r="BK289" s="11">
        <f t="shared" si="618"/>
        <v>0</v>
      </c>
      <c r="BL289" s="11">
        <f t="shared" si="618"/>
        <v>0</v>
      </c>
      <c r="BM289" s="11">
        <f t="shared" si="618"/>
        <v>0</v>
      </c>
      <c r="BN289" s="11">
        <f t="shared" si="618"/>
        <v>0</v>
      </c>
      <c r="BO289" s="11">
        <f t="shared" si="618"/>
        <v>0</v>
      </c>
      <c r="BP289" s="11">
        <f t="shared" si="618"/>
        <v>0</v>
      </c>
      <c r="BQ289" s="11">
        <f t="shared" si="618"/>
        <v>0</v>
      </c>
      <c r="BR289" s="11">
        <f t="shared" si="618"/>
        <v>0</v>
      </c>
      <c r="BS289" s="11">
        <f t="shared" si="618"/>
        <v>0</v>
      </c>
      <c r="BT289" s="11">
        <f t="shared" si="618"/>
        <v>0</v>
      </c>
      <c r="BU289" s="11">
        <f t="shared" ref="BU289:CX291" si="619">SUM(BU290)</f>
        <v>0</v>
      </c>
      <c r="BV289" s="11">
        <f t="shared" si="619"/>
        <v>0</v>
      </c>
      <c r="BW289" s="11">
        <f t="shared" si="619"/>
        <v>0</v>
      </c>
      <c r="BX289" s="11">
        <f t="shared" si="619"/>
        <v>0</v>
      </c>
      <c r="BY289" s="11">
        <f t="shared" si="619"/>
        <v>0</v>
      </c>
      <c r="BZ289" s="11">
        <f t="shared" si="619"/>
        <v>0</v>
      </c>
      <c r="CA289" s="11">
        <f t="shared" si="619"/>
        <v>0</v>
      </c>
      <c r="CB289" s="11">
        <f t="shared" si="619"/>
        <v>0</v>
      </c>
      <c r="CC289" s="11">
        <f t="shared" si="619"/>
        <v>7168320</v>
      </c>
      <c r="CD289" s="11">
        <f t="shared" si="619"/>
        <v>0</v>
      </c>
      <c r="CE289" s="11">
        <f t="shared" si="619"/>
        <v>0</v>
      </c>
      <c r="CF289" s="11">
        <f t="shared" si="619"/>
        <v>0</v>
      </c>
      <c r="CG289" s="11">
        <f t="shared" si="619"/>
        <v>0</v>
      </c>
      <c r="CH289" s="11">
        <f t="shared" si="619"/>
        <v>0</v>
      </c>
      <c r="CI289" s="11">
        <f t="shared" si="619"/>
        <v>0</v>
      </c>
      <c r="CJ289" s="11">
        <f t="shared" si="619"/>
        <v>0</v>
      </c>
      <c r="CK289" s="11">
        <f t="shared" si="619"/>
        <v>0</v>
      </c>
      <c r="CL289" s="11">
        <f t="shared" si="619"/>
        <v>0</v>
      </c>
      <c r="CM289" s="11">
        <f t="shared" si="619"/>
        <v>0</v>
      </c>
      <c r="CN289" s="11">
        <f t="shared" si="619"/>
        <v>0</v>
      </c>
      <c r="CO289" s="11">
        <f t="shared" si="619"/>
        <v>0</v>
      </c>
      <c r="CP289" s="11"/>
      <c r="CQ289" s="11">
        <f t="shared" si="619"/>
        <v>0</v>
      </c>
      <c r="CR289" s="11">
        <f t="shared" si="619"/>
        <v>0</v>
      </c>
      <c r="CS289" s="11">
        <f t="shared" si="619"/>
        <v>0</v>
      </c>
      <c r="CT289" s="11">
        <f t="shared" si="619"/>
        <v>7168320</v>
      </c>
      <c r="CU289" s="11">
        <f t="shared" si="619"/>
        <v>0</v>
      </c>
      <c r="CV289" s="11">
        <f t="shared" si="619"/>
        <v>0</v>
      </c>
      <c r="CW289" s="11">
        <f t="shared" si="619"/>
        <v>0</v>
      </c>
      <c r="CX289" s="12">
        <f t="shared" si="619"/>
        <v>0</v>
      </c>
    </row>
    <row r="290" spans="1:102" ht="15.75" x14ac:dyDescent="0.25">
      <c r="A290" s="13"/>
      <c r="B290" s="14" t="s">
        <v>1</v>
      </c>
      <c r="C290" s="14" t="s">
        <v>406</v>
      </c>
      <c r="D290" s="15" t="s">
        <v>405</v>
      </c>
      <c r="E290" s="10">
        <f>SUM(F290+CC290+CU290)</f>
        <v>7168320</v>
      </c>
      <c r="F290" s="11">
        <f>SUM(G290+BC290)</f>
        <v>0</v>
      </c>
      <c r="G290" s="11">
        <f>SUM(H290+I290+J290+Q290+T290+U290+V290+AF290+AE290)</f>
        <v>0</v>
      </c>
      <c r="H290" s="11">
        <v>0</v>
      </c>
      <c r="I290" s="11">
        <v>0</v>
      </c>
      <c r="J290" s="11">
        <f>SUM(K290:P290)</f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f t="shared" si="519"/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f t="shared" ref="V290" si="620">SUM(W290:AD290)</f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f>SUM(AG290:BB290)</f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  <c r="AU290" s="11">
        <v>0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1">
        <v>0</v>
      </c>
      <c r="BB290" s="11">
        <v>0</v>
      </c>
      <c r="BC290" s="11">
        <f>SUM(BD290+BH290+BL290+BN290+BQ290)</f>
        <v>0</v>
      </c>
      <c r="BD290" s="11">
        <f>SUM(BE290:BG290)</f>
        <v>0</v>
      </c>
      <c r="BE290" s="11">
        <v>0</v>
      </c>
      <c r="BF290" s="11">
        <v>0</v>
      </c>
      <c r="BG290" s="11">
        <v>0</v>
      </c>
      <c r="BH290" s="11">
        <f t="shared" si="521"/>
        <v>0</v>
      </c>
      <c r="BI290" s="11">
        <v>0</v>
      </c>
      <c r="BJ290" s="11">
        <v>0</v>
      </c>
      <c r="BK290" s="11">
        <v>0</v>
      </c>
      <c r="BL290" s="11">
        <v>0</v>
      </c>
      <c r="BM290" s="11">
        <v>0</v>
      </c>
      <c r="BN290" s="11">
        <f t="shared" si="522"/>
        <v>0</v>
      </c>
      <c r="BO290" s="11">
        <v>0</v>
      </c>
      <c r="BP290" s="11">
        <v>0</v>
      </c>
      <c r="BQ290" s="11">
        <f t="shared" si="523"/>
        <v>0</v>
      </c>
      <c r="BR290" s="11">
        <v>0</v>
      </c>
      <c r="BS290" s="11">
        <v>0</v>
      </c>
      <c r="BT290" s="11">
        <v>0</v>
      </c>
      <c r="BU290" s="11">
        <v>0</v>
      </c>
      <c r="BV290" s="11">
        <v>0</v>
      </c>
      <c r="BW290" s="11">
        <v>0</v>
      </c>
      <c r="BX290" s="11">
        <v>0</v>
      </c>
      <c r="BY290" s="11">
        <v>0</v>
      </c>
      <c r="BZ290" s="11">
        <v>0</v>
      </c>
      <c r="CA290" s="11">
        <v>0</v>
      </c>
      <c r="CB290" s="11">
        <v>0</v>
      </c>
      <c r="CC290" s="11">
        <f>SUM(CD290+CT290)</f>
        <v>7168320</v>
      </c>
      <c r="CD290" s="11">
        <f>SUM(CE290+CH290+CM290)</f>
        <v>0</v>
      </c>
      <c r="CE290" s="11">
        <f t="shared" si="524"/>
        <v>0</v>
      </c>
      <c r="CF290" s="11">
        <v>0</v>
      </c>
      <c r="CG290" s="11">
        <v>0</v>
      </c>
      <c r="CH290" s="11">
        <f>SUM(CI290:CL290)</f>
        <v>0</v>
      </c>
      <c r="CI290" s="11">
        <v>0</v>
      </c>
      <c r="CJ290" s="11">
        <v>0</v>
      </c>
      <c r="CK290" s="11">
        <v>0</v>
      </c>
      <c r="CL290" s="11">
        <v>0</v>
      </c>
      <c r="CM290" s="11">
        <f>SUM(CN290:CQ290)</f>
        <v>0</v>
      </c>
      <c r="CN290" s="11">
        <v>0</v>
      </c>
      <c r="CO290" s="11">
        <v>0</v>
      </c>
      <c r="CP290" s="11"/>
      <c r="CQ290" s="11">
        <v>0</v>
      </c>
      <c r="CR290" s="11">
        <v>0</v>
      </c>
      <c r="CS290" s="11">
        <v>0</v>
      </c>
      <c r="CT290" s="11">
        <f>6000000+25427701+5000000-29259381</f>
        <v>7168320</v>
      </c>
      <c r="CU290" s="11">
        <f t="shared" si="525"/>
        <v>0</v>
      </c>
      <c r="CV290" s="11">
        <f t="shared" si="526"/>
        <v>0</v>
      </c>
      <c r="CW290" s="11">
        <v>0</v>
      </c>
      <c r="CX290" s="12">
        <v>0</v>
      </c>
    </row>
    <row r="291" spans="1:102" ht="15.75" x14ac:dyDescent="0.25">
      <c r="A291" s="7"/>
      <c r="B291" s="8" t="s">
        <v>407</v>
      </c>
      <c r="C291" s="8" t="s">
        <v>1</v>
      </c>
      <c r="D291" s="24" t="s">
        <v>408</v>
      </c>
      <c r="E291" s="10">
        <f t="shared" si="618"/>
        <v>5121745</v>
      </c>
      <c r="F291" s="11">
        <f t="shared" si="618"/>
        <v>5121745</v>
      </c>
      <c r="G291" s="11">
        <f t="shared" si="618"/>
        <v>0</v>
      </c>
      <c r="H291" s="11">
        <f t="shared" si="618"/>
        <v>0</v>
      </c>
      <c r="I291" s="11">
        <f t="shared" si="618"/>
        <v>0</v>
      </c>
      <c r="J291" s="11">
        <f t="shared" si="618"/>
        <v>0</v>
      </c>
      <c r="K291" s="11">
        <f t="shared" si="618"/>
        <v>0</v>
      </c>
      <c r="L291" s="11">
        <f t="shared" si="618"/>
        <v>0</v>
      </c>
      <c r="M291" s="11">
        <f t="shared" si="618"/>
        <v>0</v>
      </c>
      <c r="N291" s="11">
        <f t="shared" si="618"/>
        <v>0</v>
      </c>
      <c r="O291" s="11">
        <f t="shared" si="618"/>
        <v>0</v>
      </c>
      <c r="P291" s="11">
        <f t="shared" si="618"/>
        <v>0</v>
      </c>
      <c r="Q291" s="11">
        <f t="shared" si="618"/>
        <v>0</v>
      </c>
      <c r="R291" s="11">
        <f t="shared" si="618"/>
        <v>0</v>
      </c>
      <c r="S291" s="11">
        <f t="shared" si="618"/>
        <v>0</v>
      </c>
      <c r="T291" s="11">
        <f t="shared" si="618"/>
        <v>0</v>
      </c>
      <c r="U291" s="11">
        <f t="shared" si="618"/>
        <v>0</v>
      </c>
      <c r="V291" s="11">
        <f t="shared" si="618"/>
        <v>0</v>
      </c>
      <c r="W291" s="11">
        <f t="shared" si="618"/>
        <v>0</v>
      </c>
      <c r="X291" s="11">
        <f t="shared" si="618"/>
        <v>0</v>
      </c>
      <c r="Y291" s="11">
        <f t="shared" si="618"/>
        <v>0</v>
      </c>
      <c r="Z291" s="11">
        <f t="shared" si="618"/>
        <v>0</v>
      </c>
      <c r="AA291" s="11">
        <f t="shared" si="618"/>
        <v>0</v>
      </c>
      <c r="AB291" s="11">
        <f t="shared" si="618"/>
        <v>0</v>
      </c>
      <c r="AC291" s="11">
        <f t="shared" si="618"/>
        <v>0</v>
      </c>
      <c r="AD291" s="11">
        <f t="shared" si="618"/>
        <v>0</v>
      </c>
      <c r="AE291" s="11">
        <f t="shared" si="618"/>
        <v>0</v>
      </c>
      <c r="AF291" s="11">
        <f t="shared" si="618"/>
        <v>0</v>
      </c>
      <c r="AG291" s="11">
        <f t="shared" si="618"/>
        <v>0</v>
      </c>
      <c r="AH291" s="11">
        <f t="shared" si="618"/>
        <v>0</v>
      </c>
      <c r="AI291" s="11">
        <f t="shared" si="618"/>
        <v>0</v>
      </c>
      <c r="AJ291" s="11">
        <f t="shared" si="618"/>
        <v>0</v>
      </c>
      <c r="AK291" s="11">
        <f t="shared" si="618"/>
        <v>0</v>
      </c>
      <c r="AL291" s="11">
        <f t="shared" si="618"/>
        <v>0</v>
      </c>
      <c r="AM291" s="11">
        <f t="shared" si="618"/>
        <v>0</v>
      </c>
      <c r="AN291" s="11">
        <f t="shared" si="618"/>
        <v>0</v>
      </c>
      <c r="AO291" s="11">
        <f t="shared" si="618"/>
        <v>0</v>
      </c>
      <c r="AP291" s="11">
        <f t="shared" si="618"/>
        <v>0</v>
      </c>
      <c r="AQ291" s="11">
        <f t="shared" si="618"/>
        <v>0</v>
      </c>
      <c r="AR291" s="11">
        <f t="shared" si="618"/>
        <v>0</v>
      </c>
      <c r="AS291" s="11">
        <f t="shared" si="618"/>
        <v>0</v>
      </c>
      <c r="AT291" s="11">
        <f t="shared" si="618"/>
        <v>0</v>
      </c>
      <c r="AU291" s="11">
        <f t="shared" si="618"/>
        <v>0</v>
      </c>
      <c r="AV291" s="11">
        <f t="shared" si="618"/>
        <v>0</v>
      </c>
      <c r="AW291" s="11">
        <f t="shared" si="618"/>
        <v>0</v>
      </c>
      <c r="AX291" s="11">
        <f t="shared" si="618"/>
        <v>0</v>
      </c>
      <c r="AY291" s="11">
        <f t="shared" si="618"/>
        <v>0</v>
      </c>
      <c r="AZ291" s="11">
        <f t="shared" si="618"/>
        <v>0</v>
      </c>
      <c r="BA291" s="11">
        <f t="shared" si="618"/>
        <v>0</v>
      </c>
      <c r="BB291" s="11">
        <f t="shared" si="618"/>
        <v>0</v>
      </c>
      <c r="BC291" s="11">
        <f t="shared" si="618"/>
        <v>5121745</v>
      </c>
      <c r="BD291" s="11">
        <f t="shared" si="618"/>
        <v>0</v>
      </c>
      <c r="BE291" s="11">
        <f t="shared" si="618"/>
        <v>0</v>
      </c>
      <c r="BF291" s="11">
        <f t="shared" si="618"/>
        <v>0</v>
      </c>
      <c r="BG291" s="11">
        <f t="shared" si="618"/>
        <v>0</v>
      </c>
      <c r="BH291" s="11">
        <f t="shared" si="618"/>
        <v>0</v>
      </c>
      <c r="BI291" s="11">
        <f t="shared" si="618"/>
        <v>0</v>
      </c>
      <c r="BJ291" s="11">
        <f t="shared" si="618"/>
        <v>0</v>
      </c>
      <c r="BK291" s="11">
        <f t="shared" si="618"/>
        <v>0</v>
      </c>
      <c r="BL291" s="11">
        <f t="shared" si="618"/>
        <v>5121745</v>
      </c>
      <c r="BM291" s="11">
        <f t="shared" si="618"/>
        <v>0</v>
      </c>
      <c r="BN291" s="11">
        <f t="shared" si="618"/>
        <v>0</v>
      </c>
      <c r="BO291" s="11">
        <f t="shared" si="618"/>
        <v>0</v>
      </c>
      <c r="BP291" s="11">
        <f t="shared" si="618"/>
        <v>0</v>
      </c>
      <c r="BQ291" s="11">
        <f t="shared" si="618"/>
        <v>0</v>
      </c>
      <c r="BR291" s="11">
        <f t="shared" si="618"/>
        <v>0</v>
      </c>
      <c r="BS291" s="11">
        <f t="shared" si="618"/>
        <v>0</v>
      </c>
      <c r="BT291" s="11">
        <f t="shared" si="618"/>
        <v>0</v>
      </c>
      <c r="BU291" s="11">
        <f t="shared" si="619"/>
        <v>0</v>
      </c>
      <c r="BV291" s="11">
        <f t="shared" si="619"/>
        <v>0</v>
      </c>
      <c r="BW291" s="11">
        <f t="shared" si="619"/>
        <v>0</v>
      </c>
      <c r="BX291" s="11">
        <f t="shared" si="619"/>
        <v>0</v>
      </c>
      <c r="BY291" s="11">
        <f t="shared" si="619"/>
        <v>0</v>
      </c>
      <c r="BZ291" s="11">
        <f t="shared" si="619"/>
        <v>0</v>
      </c>
      <c r="CA291" s="11">
        <f t="shared" si="619"/>
        <v>0</v>
      </c>
      <c r="CB291" s="11">
        <f t="shared" si="619"/>
        <v>0</v>
      </c>
      <c r="CC291" s="11">
        <f t="shared" si="619"/>
        <v>0</v>
      </c>
      <c r="CD291" s="11">
        <f t="shared" si="619"/>
        <v>0</v>
      </c>
      <c r="CE291" s="11">
        <f t="shared" si="619"/>
        <v>0</v>
      </c>
      <c r="CF291" s="11">
        <f t="shared" si="619"/>
        <v>0</v>
      </c>
      <c r="CG291" s="11">
        <f t="shared" si="619"/>
        <v>0</v>
      </c>
      <c r="CH291" s="11">
        <f t="shared" si="619"/>
        <v>0</v>
      </c>
      <c r="CI291" s="11">
        <f t="shared" si="619"/>
        <v>0</v>
      </c>
      <c r="CJ291" s="11">
        <f t="shared" si="619"/>
        <v>0</v>
      </c>
      <c r="CK291" s="11">
        <f t="shared" si="619"/>
        <v>0</v>
      </c>
      <c r="CL291" s="11">
        <f t="shared" si="619"/>
        <v>0</v>
      </c>
      <c r="CM291" s="11">
        <f t="shared" si="619"/>
        <v>0</v>
      </c>
      <c r="CN291" s="11">
        <f t="shared" si="619"/>
        <v>0</v>
      </c>
      <c r="CO291" s="11">
        <f t="shared" si="619"/>
        <v>0</v>
      </c>
      <c r="CP291" s="11"/>
      <c r="CQ291" s="11">
        <f t="shared" si="619"/>
        <v>0</v>
      </c>
      <c r="CR291" s="11">
        <f t="shared" si="619"/>
        <v>0</v>
      </c>
      <c r="CS291" s="11">
        <f t="shared" si="619"/>
        <v>0</v>
      </c>
      <c r="CT291" s="11">
        <f t="shared" si="619"/>
        <v>0</v>
      </c>
      <c r="CU291" s="11">
        <f t="shared" si="619"/>
        <v>0</v>
      </c>
      <c r="CV291" s="11">
        <f t="shared" si="619"/>
        <v>0</v>
      </c>
      <c r="CW291" s="11">
        <f t="shared" si="619"/>
        <v>0</v>
      </c>
      <c r="CX291" s="12">
        <f t="shared" si="619"/>
        <v>0</v>
      </c>
    </row>
    <row r="292" spans="1:102" ht="15.75" x14ac:dyDescent="0.25">
      <c r="A292" s="13" t="s">
        <v>1</v>
      </c>
      <c r="B292" s="14" t="s">
        <v>1</v>
      </c>
      <c r="C292" s="14" t="s">
        <v>109</v>
      </c>
      <c r="D292" s="25" t="s">
        <v>409</v>
      </c>
      <c r="E292" s="10">
        <f>SUM(F292+CC292+CU292)</f>
        <v>5121745</v>
      </c>
      <c r="F292" s="11">
        <f>SUM(G292+BC292)</f>
        <v>5121745</v>
      </c>
      <c r="G292" s="11">
        <f>SUM(H292+I292+J292+Q292+T292+U292+V292+AF292+AE292)</f>
        <v>0</v>
      </c>
      <c r="H292" s="11">
        <v>0</v>
      </c>
      <c r="I292" s="11">
        <v>0</v>
      </c>
      <c r="J292" s="11">
        <f>SUM(K292:P292)</f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f t="shared" ref="Q292" si="621">SUM(R292:S292)</f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f t="shared" ref="V292" si="622">SUM(W292:AD292)</f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f>SUM(AG292:BB292)</f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  <c r="AU292" s="11">
        <v>0</v>
      </c>
      <c r="AV292" s="11">
        <v>0</v>
      </c>
      <c r="AW292" s="11">
        <v>0</v>
      </c>
      <c r="AX292" s="11">
        <v>0</v>
      </c>
      <c r="AY292" s="11">
        <v>0</v>
      </c>
      <c r="AZ292" s="11">
        <v>0</v>
      </c>
      <c r="BA292" s="11">
        <v>0</v>
      </c>
      <c r="BB292" s="11">
        <v>0</v>
      </c>
      <c r="BC292" s="11">
        <f>SUM(BD292+BH292+BL292+BN292+BQ292)</f>
        <v>5121745</v>
      </c>
      <c r="BD292" s="11">
        <f>SUM(BE292:BG292)</f>
        <v>0</v>
      </c>
      <c r="BE292" s="11">
        <v>0</v>
      </c>
      <c r="BF292" s="11">
        <v>0</v>
      </c>
      <c r="BG292" s="11">
        <v>0</v>
      </c>
      <c r="BH292" s="11">
        <f t="shared" ref="BH292" si="623">SUM(BJ292:BK292)</f>
        <v>0</v>
      </c>
      <c r="BI292" s="11">
        <v>0</v>
      </c>
      <c r="BJ292" s="11">
        <v>0</v>
      </c>
      <c r="BK292" s="11">
        <v>0</v>
      </c>
      <c r="BL292" s="11">
        <v>5121745</v>
      </c>
      <c r="BM292" s="11">
        <v>0</v>
      </c>
      <c r="BN292" s="11">
        <f t="shared" ref="BN292" si="624">SUM(BO292)</f>
        <v>0</v>
      </c>
      <c r="BO292" s="11">
        <v>0</v>
      </c>
      <c r="BP292" s="11">
        <v>0</v>
      </c>
      <c r="BQ292" s="11">
        <f t="shared" ref="BQ292" si="625">SUM(BR292:CB292)</f>
        <v>0</v>
      </c>
      <c r="BR292" s="11">
        <v>0</v>
      </c>
      <c r="BS292" s="11">
        <v>0</v>
      </c>
      <c r="BT292" s="11">
        <v>0</v>
      </c>
      <c r="BU292" s="11">
        <v>0</v>
      </c>
      <c r="BV292" s="11">
        <v>0</v>
      </c>
      <c r="BW292" s="11">
        <v>0</v>
      </c>
      <c r="BX292" s="11">
        <v>0</v>
      </c>
      <c r="BY292" s="11">
        <v>0</v>
      </c>
      <c r="BZ292" s="11">
        <v>0</v>
      </c>
      <c r="CA292" s="11">
        <v>0</v>
      </c>
      <c r="CB292" s="11">
        <v>0</v>
      </c>
      <c r="CC292" s="11">
        <f>SUM(CD292+CT292)</f>
        <v>0</v>
      </c>
      <c r="CD292" s="11">
        <f>SUM(CE292+CH292+CM292)</f>
        <v>0</v>
      </c>
      <c r="CE292" s="11">
        <f t="shared" ref="CE292" si="626">SUM(CF292:CG292)</f>
        <v>0</v>
      </c>
      <c r="CF292" s="11">
        <v>0</v>
      </c>
      <c r="CG292" s="11">
        <v>0</v>
      </c>
      <c r="CH292" s="11">
        <f>SUM(CI292:CL292)</f>
        <v>0</v>
      </c>
      <c r="CI292" s="11">
        <v>0</v>
      </c>
      <c r="CJ292" s="11">
        <v>0</v>
      </c>
      <c r="CK292" s="11">
        <v>0</v>
      </c>
      <c r="CL292" s="11">
        <v>0</v>
      </c>
      <c r="CM292" s="11">
        <f>SUM(CN292:CQ292)</f>
        <v>0</v>
      </c>
      <c r="CN292" s="11">
        <v>0</v>
      </c>
      <c r="CO292" s="11">
        <v>0</v>
      </c>
      <c r="CP292" s="11"/>
      <c r="CQ292" s="11">
        <v>0</v>
      </c>
      <c r="CR292" s="11">
        <v>0</v>
      </c>
      <c r="CS292" s="11">
        <v>0</v>
      </c>
      <c r="CT292" s="11"/>
      <c r="CU292" s="11">
        <f t="shared" ref="CU292" si="627">SUM(CV292)</f>
        <v>0</v>
      </c>
      <c r="CV292" s="11">
        <f t="shared" ref="CV292" si="628">SUM(CW292:CX292)</f>
        <v>0</v>
      </c>
      <c r="CW292" s="11">
        <v>0</v>
      </c>
      <c r="CX292" s="12">
        <v>0</v>
      </c>
    </row>
    <row r="293" spans="1:102" ht="31.5" x14ac:dyDescent="0.25">
      <c r="A293" s="18" t="s">
        <v>410</v>
      </c>
      <c r="B293" s="19" t="s">
        <v>1</v>
      </c>
      <c r="C293" s="19" t="s">
        <v>1</v>
      </c>
      <c r="D293" s="20" t="s">
        <v>411</v>
      </c>
      <c r="E293" s="21">
        <f>SUM(E294)</f>
        <v>74000000</v>
      </c>
      <c r="F293" s="22">
        <f t="shared" ref="F293:BW294" si="629">SUM(F294)</f>
        <v>0</v>
      </c>
      <c r="G293" s="22">
        <f t="shared" si="629"/>
        <v>0</v>
      </c>
      <c r="H293" s="22">
        <f t="shared" si="629"/>
        <v>0</v>
      </c>
      <c r="I293" s="22">
        <f t="shared" si="629"/>
        <v>0</v>
      </c>
      <c r="J293" s="22">
        <f t="shared" si="629"/>
        <v>0</v>
      </c>
      <c r="K293" s="22">
        <f t="shared" si="629"/>
        <v>0</v>
      </c>
      <c r="L293" s="22">
        <f t="shared" si="629"/>
        <v>0</v>
      </c>
      <c r="M293" s="22">
        <f t="shared" si="629"/>
        <v>0</v>
      </c>
      <c r="N293" s="22">
        <f t="shared" si="629"/>
        <v>0</v>
      </c>
      <c r="O293" s="22">
        <f t="shared" si="629"/>
        <v>0</v>
      </c>
      <c r="P293" s="22">
        <f t="shared" si="629"/>
        <v>0</v>
      </c>
      <c r="Q293" s="22">
        <f t="shared" si="629"/>
        <v>0</v>
      </c>
      <c r="R293" s="22">
        <f t="shared" si="629"/>
        <v>0</v>
      </c>
      <c r="S293" s="22">
        <f t="shared" si="629"/>
        <v>0</v>
      </c>
      <c r="T293" s="22">
        <f t="shared" si="629"/>
        <v>0</v>
      </c>
      <c r="U293" s="22">
        <f t="shared" si="629"/>
        <v>0</v>
      </c>
      <c r="V293" s="22">
        <f t="shared" si="629"/>
        <v>0</v>
      </c>
      <c r="W293" s="22">
        <f t="shared" si="629"/>
        <v>0</v>
      </c>
      <c r="X293" s="22">
        <f t="shared" si="629"/>
        <v>0</v>
      </c>
      <c r="Y293" s="22">
        <f t="shared" si="629"/>
        <v>0</v>
      </c>
      <c r="Z293" s="22">
        <f t="shared" si="629"/>
        <v>0</v>
      </c>
      <c r="AA293" s="22">
        <f t="shared" si="629"/>
        <v>0</v>
      </c>
      <c r="AB293" s="22">
        <f t="shared" si="629"/>
        <v>0</v>
      </c>
      <c r="AC293" s="22">
        <f t="shared" si="629"/>
        <v>0</v>
      </c>
      <c r="AD293" s="22">
        <f t="shared" si="629"/>
        <v>0</v>
      </c>
      <c r="AE293" s="22">
        <f t="shared" si="629"/>
        <v>0</v>
      </c>
      <c r="AF293" s="22">
        <f t="shared" si="629"/>
        <v>0</v>
      </c>
      <c r="AG293" s="22">
        <f t="shared" si="629"/>
        <v>0</v>
      </c>
      <c r="AH293" s="22">
        <f t="shared" si="629"/>
        <v>0</v>
      </c>
      <c r="AI293" s="22">
        <f t="shared" si="629"/>
        <v>0</v>
      </c>
      <c r="AJ293" s="22">
        <f t="shared" si="629"/>
        <v>0</v>
      </c>
      <c r="AK293" s="22">
        <f t="shared" si="629"/>
        <v>0</v>
      </c>
      <c r="AL293" s="22">
        <f t="shared" si="629"/>
        <v>0</v>
      </c>
      <c r="AM293" s="22">
        <f t="shared" si="629"/>
        <v>0</v>
      </c>
      <c r="AN293" s="22">
        <f t="shared" si="629"/>
        <v>0</v>
      </c>
      <c r="AO293" s="22">
        <f t="shared" si="629"/>
        <v>0</v>
      </c>
      <c r="AP293" s="22">
        <f t="shared" si="629"/>
        <v>0</v>
      </c>
      <c r="AQ293" s="22">
        <f t="shared" si="629"/>
        <v>0</v>
      </c>
      <c r="AR293" s="22">
        <f t="shared" si="629"/>
        <v>0</v>
      </c>
      <c r="AS293" s="22">
        <f t="shared" si="629"/>
        <v>0</v>
      </c>
      <c r="AT293" s="22">
        <f t="shared" si="629"/>
        <v>0</v>
      </c>
      <c r="AU293" s="22">
        <f t="shared" si="629"/>
        <v>0</v>
      </c>
      <c r="AV293" s="22">
        <f t="shared" si="629"/>
        <v>0</v>
      </c>
      <c r="AW293" s="22">
        <f t="shared" si="629"/>
        <v>0</v>
      </c>
      <c r="AX293" s="22">
        <f t="shared" si="629"/>
        <v>0</v>
      </c>
      <c r="AY293" s="22">
        <f t="shared" si="629"/>
        <v>0</v>
      </c>
      <c r="AZ293" s="22">
        <f t="shared" si="629"/>
        <v>0</v>
      </c>
      <c r="BA293" s="22">
        <f t="shared" si="629"/>
        <v>0</v>
      </c>
      <c r="BB293" s="22">
        <f t="shared" si="629"/>
        <v>0</v>
      </c>
      <c r="BC293" s="22">
        <f t="shared" si="629"/>
        <v>0</v>
      </c>
      <c r="BD293" s="22">
        <f t="shared" si="629"/>
        <v>0</v>
      </c>
      <c r="BE293" s="22">
        <f t="shared" si="629"/>
        <v>0</v>
      </c>
      <c r="BF293" s="22">
        <f t="shared" si="629"/>
        <v>0</v>
      </c>
      <c r="BG293" s="22">
        <f t="shared" si="629"/>
        <v>0</v>
      </c>
      <c r="BH293" s="22">
        <f t="shared" si="629"/>
        <v>0</v>
      </c>
      <c r="BI293" s="22">
        <f t="shared" si="629"/>
        <v>0</v>
      </c>
      <c r="BJ293" s="22">
        <f t="shared" si="629"/>
        <v>0</v>
      </c>
      <c r="BK293" s="22">
        <f t="shared" si="629"/>
        <v>0</v>
      </c>
      <c r="BL293" s="22">
        <f t="shared" si="629"/>
        <v>0</v>
      </c>
      <c r="BM293" s="22">
        <f t="shared" si="629"/>
        <v>0</v>
      </c>
      <c r="BN293" s="22">
        <f t="shared" si="629"/>
        <v>0</v>
      </c>
      <c r="BO293" s="22">
        <f t="shared" si="629"/>
        <v>0</v>
      </c>
      <c r="BP293" s="22">
        <f t="shared" si="629"/>
        <v>0</v>
      </c>
      <c r="BQ293" s="22">
        <f t="shared" si="629"/>
        <v>0</v>
      </c>
      <c r="BR293" s="22">
        <f t="shared" si="629"/>
        <v>0</v>
      </c>
      <c r="BS293" s="22">
        <f t="shared" si="629"/>
        <v>0</v>
      </c>
      <c r="BT293" s="22">
        <f t="shared" si="629"/>
        <v>0</v>
      </c>
      <c r="BU293" s="22">
        <f t="shared" si="629"/>
        <v>0</v>
      </c>
      <c r="BV293" s="22">
        <f t="shared" si="629"/>
        <v>0</v>
      </c>
      <c r="BW293" s="22">
        <f t="shared" si="629"/>
        <v>0</v>
      </c>
      <c r="BX293" s="22">
        <f t="shared" ref="BX293:CX294" si="630">SUM(BX294)</f>
        <v>0</v>
      </c>
      <c r="BY293" s="22">
        <f t="shared" si="630"/>
        <v>0</v>
      </c>
      <c r="BZ293" s="22">
        <f t="shared" si="630"/>
        <v>0</v>
      </c>
      <c r="CA293" s="22">
        <f t="shared" si="630"/>
        <v>0</v>
      </c>
      <c r="CB293" s="22">
        <f t="shared" si="630"/>
        <v>0</v>
      </c>
      <c r="CC293" s="22">
        <f t="shared" si="630"/>
        <v>0</v>
      </c>
      <c r="CD293" s="22">
        <f t="shared" si="630"/>
        <v>0</v>
      </c>
      <c r="CE293" s="22">
        <f t="shared" si="630"/>
        <v>0</v>
      </c>
      <c r="CF293" s="22">
        <f t="shared" si="630"/>
        <v>0</v>
      </c>
      <c r="CG293" s="22">
        <f t="shared" si="630"/>
        <v>0</v>
      </c>
      <c r="CH293" s="22">
        <f t="shared" si="630"/>
        <v>0</v>
      </c>
      <c r="CI293" s="22">
        <f t="shared" si="630"/>
        <v>0</v>
      </c>
      <c r="CJ293" s="22">
        <f t="shared" si="630"/>
        <v>0</v>
      </c>
      <c r="CK293" s="22">
        <f t="shared" si="630"/>
        <v>0</v>
      </c>
      <c r="CL293" s="22">
        <f t="shared" si="630"/>
        <v>0</v>
      </c>
      <c r="CM293" s="22">
        <f t="shared" si="630"/>
        <v>0</v>
      </c>
      <c r="CN293" s="22">
        <f t="shared" si="630"/>
        <v>0</v>
      </c>
      <c r="CO293" s="22">
        <f t="shared" si="630"/>
        <v>0</v>
      </c>
      <c r="CP293" s="22"/>
      <c r="CQ293" s="22">
        <f t="shared" si="630"/>
        <v>0</v>
      </c>
      <c r="CR293" s="22">
        <f t="shared" si="630"/>
        <v>0</v>
      </c>
      <c r="CS293" s="22">
        <f t="shared" si="630"/>
        <v>0</v>
      </c>
      <c r="CT293" s="22">
        <f t="shared" si="630"/>
        <v>0</v>
      </c>
      <c r="CU293" s="22">
        <f t="shared" si="630"/>
        <v>74000000</v>
      </c>
      <c r="CV293" s="22">
        <f t="shared" si="630"/>
        <v>74000000</v>
      </c>
      <c r="CW293" s="22">
        <f t="shared" si="630"/>
        <v>0</v>
      </c>
      <c r="CX293" s="23">
        <f t="shared" si="630"/>
        <v>74000000</v>
      </c>
    </row>
    <row r="294" spans="1:102" ht="31.5" x14ac:dyDescent="0.25">
      <c r="A294" s="7"/>
      <c r="B294" s="8" t="s">
        <v>412</v>
      </c>
      <c r="C294" s="8" t="s">
        <v>1</v>
      </c>
      <c r="D294" s="9" t="s">
        <v>413</v>
      </c>
      <c r="E294" s="10">
        <f>SUM(E295)</f>
        <v>74000000</v>
      </c>
      <c r="F294" s="11">
        <f t="shared" si="629"/>
        <v>0</v>
      </c>
      <c r="G294" s="11">
        <f t="shared" si="629"/>
        <v>0</v>
      </c>
      <c r="H294" s="11">
        <f t="shared" si="629"/>
        <v>0</v>
      </c>
      <c r="I294" s="11">
        <f t="shared" si="629"/>
        <v>0</v>
      </c>
      <c r="J294" s="11">
        <f t="shared" si="629"/>
        <v>0</v>
      </c>
      <c r="K294" s="11">
        <f t="shared" si="629"/>
        <v>0</v>
      </c>
      <c r="L294" s="11">
        <f t="shared" si="629"/>
        <v>0</v>
      </c>
      <c r="M294" s="11">
        <f t="shared" si="629"/>
        <v>0</v>
      </c>
      <c r="N294" s="11">
        <f t="shared" si="629"/>
        <v>0</v>
      </c>
      <c r="O294" s="11">
        <f t="shared" si="629"/>
        <v>0</v>
      </c>
      <c r="P294" s="11">
        <f t="shared" si="629"/>
        <v>0</v>
      </c>
      <c r="Q294" s="11">
        <f t="shared" si="629"/>
        <v>0</v>
      </c>
      <c r="R294" s="11">
        <f t="shared" si="629"/>
        <v>0</v>
      </c>
      <c r="S294" s="11">
        <f t="shared" si="629"/>
        <v>0</v>
      </c>
      <c r="T294" s="11">
        <f t="shared" si="629"/>
        <v>0</v>
      </c>
      <c r="U294" s="11">
        <f t="shared" si="629"/>
        <v>0</v>
      </c>
      <c r="V294" s="11">
        <f t="shared" si="629"/>
        <v>0</v>
      </c>
      <c r="W294" s="11">
        <f t="shared" si="629"/>
        <v>0</v>
      </c>
      <c r="X294" s="11">
        <f t="shared" si="629"/>
        <v>0</v>
      </c>
      <c r="Y294" s="11">
        <f t="shared" si="629"/>
        <v>0</v>
      </c>
      <c r="Z294" s="11">
        <f t="shared" si="629"/>
        <v>0</v>
      </c>
      <c r="AA294" s="11">
        <f t="shared" si="629"/>
        <v>0</v>
      </c>
      <c r="AB294" s="11">
        <f t="shared" si="629"/>
        <v>0</v>
      </c>
      <c r="AC294" s="11">
        <f t="shared" si="629"/>
        <v>0</v>
      </c>
      <c r="AD294" s="11">
        <f t="shared" si="629"/>
        <v>0</v>
      </c>
      <c r="AE294" s="11">
        <f t="shared" si="629"/>
        <v>0</v>
      </c>
      <c r="AF294" s="11">
        <f t="shared" si="629"/>
        <v>0</v>
      </c>
      <c r="AG294" s="11">
        <f t="shared" si="629"/>
        <v>0</v>
      </c>
      <c r="AH294" s="11">
        <f t="shared" si="629"/>
        <v>0</v>
      </c>
      <c r="AI294" s="11">
        <f t="shared" si="629"/>
        <v>0</v>
      </c>
      <c r="AJ294" s="11">
        <f t="shared" si="629"/>
        <v>0</v>
      </c>
      <c r="AK294" s="11">
        <f t="shared" si="629"/>
        <v>0</v>
      </c>
      <c r="AL294" s="11">
        <f t="shared" si="629"/>
        <v>0</v>
      </c>
      <c r="AM294" s="11">
        <f t="shared" si="629"/>
        <v>0</v>
      </c>
      <c r="AN294" s="11">
        <f t="shared" si="629"/>
        <v>0</v>
      </c>
      <c r="AO294" s="11">
        <f t="shared" si="629"/>
        <v>0</v>
      </c>
      <c r="AP294" s="11">
        <f t="shared" si="629"/>
        <v>0</v>
      </c>
      <c r="AQ294" s="11">
        <f t="shared" si="629"/>
        <v>0</v>
      </c>
      <c r="AR294" s="11">
        <f t="shared" si="629"/>
        <v>0</v>
      </c>
      <c r="AS294" s="11">
        <f t="shared" si="629"/>
        <v>0</v>
      </c>
      <c r="AT294" s="11">
        <f t="shared" si="629"/>
        <v>0</v>
      </c>
      <c r="AU294" s="11">
        <f t="shared" si="629"/>
        <v>0</v>
      </c>
      <c r="AV294" s="11">
        <f t="shared" si="629"/>
        <v>0</v>
      </c>
      <c r="AW294" s="11">
        <f t="shared" si="629"/>
        <v>0</v>
      </c>
      <c r="AX294" s="11">
        <f t="shared" si="629"/>
        <v>0</v>
      </c>
      <c r="AY294" s="11">
        <f t="shared" si="629"/>
        <v>0</v>
      </c>
      <c r="AZ294" s="11">
        <f t="shared" si="629"/>
        <v>0</v>
      </c>
      <c r="BA294" s="11">
        <f t="shared" si="629"/>
        <v>0</v>
      </c>
      <c r="BB294" s="11">
        <f t="shared" si="629"/>
        <v>0</v>
      </c>
      <c r="BC294" s="11">
        <f t="shared" si="629"/>
        <v>0</v>
      </c>
      <c r="BD294" s="11">
        <f t="shared" si="629"/>
        <v>0</v>
      </c>
      <c r="BE294" s="11">
        <f t="shared" si="629"/>
        <v>0</v>
      </c>
      <c r="BF294" s="11">
        <f t="shared" si="629"/>
        <v>0</v>
      </c>
      <c r="BG294" s="11">
        <f t="shared" si="629"/>
        <v>0</v>
      </c>
      <c r="BH294" s="11">
        <f t="shared" si="629"/>
        <v>0</v>
      </c>
      <c r="BI294" s="11">
        <f t="shared" si="629"/>
        <v>0</v>
      </c>
      <c r="BJ294" s="11">
        <f t="shared" si="629"/>
        <v>0</v>
      </c>
      <c r="BK294" s="11">
        <f t="shared" si="629"/>
        <v>0</v>
      </c>
      <c r="BL294" s="11">
        <f t="shared" si="629"/>
        <v>0</v>
      </c>
      <c r="BM294" s="11">
        <f t="shared" si="629"/>
        <v>0</v>
      </c>
      <c r="BN294" s="11">
        <f t="shared" si="629"/>
        <v>0</v>
      </c>
      <c r="BO294" s="11">
        <f t="shared" si="629"/>
        <v>0</v>
      </c>
      <c r="BP294" s="11">
        <f t="shared" si="629"/>
        <v>0</v>
      </c>
      <c r="BQ294" s="11">
        <f t="shared" si="629"/>
        <v>0</v>
      </c>
      <c r="BR294" s="11">
        <f t="shared" si="629"/>
        <v>0</v>
      </c>
      <c r="BS294" s="11">
        <f t="shared" si="629"/>
        <v>0</v>
      </c>
      <c r="BT294" s="11">
        <f t="shared" si="629"/>
        <v>0</v>
      </c>
      <c r="BU294" s="11">
        <f t="shared" si="629"/>
        <v>0</v>
      </c>
      <c r="BV294" s="11">
        <f t="shared" si="629"/>
        <v>0</v>
      </c>
      <c r="BW294" s="11">
        <f t="shared" si="629"/>
        <v>0</v>
      </c>
      <c r="BX294" s="11">
        <f t="shared" si="630"/>
        <v>0</v>
      </c>
      <c r="BY294" s="11">
        <f t="shared" si="630"/>
        <v>0</v>
      </c>
      <c r="BZ294" s="11">
        <f t="shared" si="630"/>
        <v>0</v>
      </c>
      <c r="CA294" s="11">
        <f t="shared" si="630"/>
        <v>0</v>
      </c>
      <c r="CB294" s="11">
        <f t="shared" si="630"/>
        <v>0</v>
      </c>
      <c r="CC294" s="11">
        <f t="shared" si="630"/>
        <v>0</v>
      </c>
      <c r="CD294" s="11">
        <f t="shared" si="630"/>
        <v>0</v>
      </c>
      <c r="CE294" s="11">
        <f t="shared" si="630"/>
        <v>0</v>
      </c>
      <c r="CF294" s="11">
        <f t="shared" si="630"/>
        <v>0</v>
      </c>
      <c r="CG294" s="11">
        <f t="shared" si="630"/>
        <v>0</v>
      </c>
      <c r="CH294" s="11">
        <f t="shared" si="630"/>
        <v>0</v>
      </c>
      <c r="CI294" s="11">
        <f t="shared" si="630"/>
        <v>0</v>
      </c>
      <c r="CJ294" s="11">
        <f t="shared" si="630"/>
        <v>0</v>
      </c>
      <c r="CK294" s="11">
        <f t="shared" si="630"/>
        <v>0</v>
      </c>
      <c r="CL294" s="11">
        <f t="shared" si="630"/>
        <v>0</v>
      </c>
      <c r="CM294" s="11">
        <f t="shared" si="630"/>
        <v>0</v>
      </c>
      <c r="CN294" s="11">
        <f t="shared" si="630"/>
        <v>0</v>
      </c>
      <c r="CO294" s="11">
        <f t="shared" si="630"/>
        <v>0</v>
      </c>
      <c r="CP294" s="11"/>
      <c r="CQ294" s="11">
        <f t="shared" si="630"/>
        <v>0</v>
      </c>
      <c r="CR294" s="11">
        <f t="shared" si="630"/>
        <v>0</v>
      </c>
      <c r="CS294" s="11">
        <f t="shared" si="630"/>
        <v>0</v>
      </c>
      <c r="CT294" s="11">
        <f t="shared" si="630"/>
        <v>0</v>
      </c>
      <c r="CU294" s="11">
        <f t="shared" si="630"/>
        <v>74000000</v>
      </c>
      <c r="CV294" s="11">
        <f t="shared" si="630"/>
        <v>74000000</v>
      </c>
      <c r="CW294" s="11">
        <f t="shared" si="630"/>
        <v>0</v>
      </c>
      <c r="CX294" s="12">
        <f t="shared" si="630"/>
        <v>74000000</v>
      </c>
    </row>
    <row r="295" spans="1:102" ht="31.5" x14ac:dyDescent="0.25">
      <c r="A295" s="13" t="s">
        <v>1</v>
      </c>
      <c r="B295" s="14" t="s">
        <v>1</v>
      </c>
      <c r="C295" s="14" t="s">
        <v>109</v>
      </c>
      <c r="D295" s="15" t="s">
        <v>414</v>
      </c>
      <c r="E295" s="10">
        <f>SUM(F295+CC295+CU295)</f>
        <v>74000000</v>
      </c>
      <c r="F295" s="11">
        <f>SUM(G295+BC295)</f>
        <v>0</v>
      </c>
      <c r="G295" s="11">
        <f>SUM(H295+I295+J295+Q295+T295+U295+V295+AF295+AE295)</f>
        <v>0</v>
      </c>
      <c r="H295" s="11">
        <v>0</v>
      </c>
      <c r="I295" s="11">
        <v>0</v>
      </c>
      <c r="J295" s="11">
        <f>SUM(K295:P295)</f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f t="shared" si="519"/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f t="shared" ref="V295" si="631">SUM(W295:AD295)</f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f>SUM(AG295:BB295)</f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  <c r="AN295" s="11">
        <v>0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  <c r="AU295" s="11">
        <v>0</v>
      </c>
      <c r="AV295" s="11">
        <v>0</v>
      </c>
      <c r="AW295" s="11">
        <v>0</v>
      </c>
      <c r="AX295" s="11">
        <v>0</v>
      </c>
      <c r="AY295" s="11">
        <v>0</v>
      </c>
      <c r="AZ295" s="11">
        <v>0</v>
      </c>
      <c r="BA295" s="11">
        <v>0</v>
      </c>
      <c r="BB295" s="11">
        <v>0</v>
      </c>
      <c r="BC295" s="11">
        <f>SUM(BD295+BH295+BL295+BN295+BQ295)</f>
        <v>0</v>
      </c>
      <c r="BD295" s="11">
        <f>SUM(BE295:BG295)</f>
        <v>0</v>
      </c>
      <c r="BE295" s="11">
        <v>0</v>
      </c>
      <c r="BF295" s="11">
        <v>0</v>
      </c>
      <c r="BG295" s="11">
        <v>0</v>
      </c>
      <c r="BH295" s="11">
        <f t="shared" si="521"/>
        <v>0</v>
      </c>
      <c r="BI295" s="11">
        <v>0</v>
      </c>
      <c r="BJ295" s="11">
        <v>0</v>
      </c>
      <c r="BK295" s="11">
        <v>0</v>
      </c>
      <c r="BL295" s="11">
        <v>0</v>
      </c>
      <c r="BM295" s="11">
        <v>0</v>
      </c>
      <c r="BN295" s="11">
        <f t="shared" si="522"/>
        <v>0</v>
      </c>
      <c r="BO295" s="11">
        <v>0</v>
      </c>
      <c r="BP295" s="11">
        <v>0</v>
      </c>
      <c r="BQ295" s="11">
        <f t="shared" si="523"/>
        <v>0</v>
      </c>
      <c r="BR295" s="11">
        <v>0</v>
      </c>
      <c r="BS295" s="11">
        <v>0</v>
      </c>
      <c r="BT295" s="11">
        <v>0</v>
      </c>
      <c r="BU295" s="11">
        <v>0</v>
      </c>
      <c r="BV295" s="11">
        <v>0</v>
      </c>
      <c r="BW295" s="11">
        <v>0</v>
      </c>
      <c r="BX295" s="11">
        <v>0</v>
      </c>
      <c r="BY295" s="11">
        <v>0</v>
      </c>
      <c r="BZ295" s="11">
        <v>0</v>
      </c>
      <c r="CA295" s="11">
        <v>0</v>
      </c>
      <c r="CB295" s="11">
        <v>0</v>
      </c>
      <c r="CC295" s="11">
        <f>SUM(CD295+CT295)</f>
        <v>0</v>
      </c>
      <c r="CD295" s="11">
        <f>SUM(CE295+CH295+CM295)</f>
        <v>0</v>
      </c>
      <c r="CE295" s="11">
        <f t="shared" si="524"/>
        <v>0</v>
      </c>
      <c r="CF295" s="11">
        <v>0</v>
      </c>
      <c r="CG295" s="11">
        <v>0</v>
      </c>
      <c r="CH295" s="11">
        <f>SUM(CI295:CL295)</f>
        <v>0</v>
      </c>
      <c r="CI295" s="11">
        <v>0</v>
      </c>
      <c r="CJ295" s="11">
        <v>0</v>
      </c>
      <c r="CK295" s="11">
        <v>0</v>
      </c>
      <c r="CL295" s="11">
        <v>0</v>
      </c>
      <c r="CM295" s="11">
        <f>SUM(CN295:CQ295)</f>
        <v>0</v>
      </c>
      <c r="CN295" s="11">
        <v>0</v>
      </c>
      <c r="CO295" s="11">
        <v>0</v>
      </c>
      <c r="CP295" s="11"/>
      <c r="CQ295" s="11">
        <v>0</v>
      </c>
      <c r="CR295" s="11">
        <v>0</v>
      </c>
      <c r="CS295" s="11">
        <v>0</v>
      </c>
      <c r="CT295" s="11">
        <v>0</v>
      </c>
      <c r="CU295" s="11">
        <f t="shared" si="525"/>
        <v>74000000</v>
      </c>
      <c r="CV295" s="11">
        <f t="shared" si="526"/>
        <v>74000000</v>
      </c>
      <c r="CW295" s="11">
        <v>0</v>
      </c>
      <c r="CX295" s="12">
        <v>74000000</v>
      </c>
    </row>
    <row r="296" spans="1:102" ht="15.75" x14ac:dyDescent="0.25">
      <c r="A296" s="18" t="s">
        <v>415</v>
      </c>
      <c r="B296" s="19" t="s">
        <v>1</v>
      </c>
      <c r="C296" s="19" t="s">
        <v>1</v>
      </c>
      <c r="D296" s="20" t="s">
        <v>416</v>
      </c>
      <c r="E296" s="21">
        <f t="shared" ref="E296:AJ296" si="632">SUM(E302+E312+E304+E306+E308+E310+E314+E297)</f>
        <v>610547410</v>
      </c>
      <c r="F296" s="22">
        <f t="shared" si="632"/>
        <v>309677721</v>
      </c>
      <c r="G296" s="22">
        <f t="shared" si="632"/>
        <v>64973223</v>
      </c>
      <c r="H296" s="22">
        <f t="shared" si="632"/>
        <v>0</v>
      </c>
      <c r="I296" s="22">
        <f t="shared" si="632"/>
        <v>0</v>
      </c>
      <c r="J296" s="22">
        <f t="shared" si="632"/>
        <v>2842864</v>
      </c>
      <c r="K296" s="22">
        <f t="shared" si="632"/>
        <v>0</v>
      </c>
      <c r="L296" s="22">
        <f t="shared" si="632"/>
        <v>0</v>
      </c>
      <c r="M296" s="22">
        <f t="shared" si="632"/>
        <v>0</v>
      </c>
      <c r="N296" s="22">
        <f t="shared" si="632"/>
        <v>0</v>
      </c>
      <c r="O296" s="22">
        <f t="shared" si="632"/>
        <v>577992</v>
      </c>
      <c r="P296" s="22">
        <f t="shared" si="632"/>
        <v>2264872</v>
      </c>
      <c r="Q296" s="22">
        <f t="shared" si="632"/>
        <v>0</v>
      </c>
      <c r="R296" s="22">
        <f t="shared" si="632"/>
        <v>0</v>
      </c>
      <c r="S296" s="22">
        <f t="shared" si="632"/>
        <v>0</v>
      </c>
      <c r="T296" s="22">
        <f t="shared" si="632"/>
        <v>0</v>
      </c>
      <c r="U296" s="22">
        <f t="shared" si="632"/>
        <v>0</v>
      </c>
      <c r="V296" s="22">
        <f t="shared" si="632"/>
        <v>0</v>
      </c>
      <c r="W296" s="22">
        <f t="shared" si="632"/>
        <v>0</v>
      </c>
      <c r="X296" s="22">
        <f t="shared" si="632"/>
        <v>0</v>
      </c>
      <c r="Y296" s="22">
        <f t="shared" si="632"/>
        <v>0</v>
      </c>
      <c r="Z296" s="22">
        <f t="shared" si="632"/>
        <v>0</v>
      </c>
      <c r="AA296" s="22">
        <f t="shared" si="632"/>
        <v>0</v>
      </c>
      <c r="AB296" s="22">
        <f t="shared" si="632"/>
        <v>0</v>
      </c>
      <c r="AC296" s="22">
        <f t="shared" si="632"/>
        <v>0</v>
      </c>
      <c r="AD296" s="22">
        <f t="shared" si="632"/>
        <v>0</v>
      </c>
      <c r="AE296" s="22">
        <f t="shared" si="632"/>
        <v>0</v>
      </c>
      <c r="AF296" s="22">
        <f t="shared" si="632"/>
        <v>62130359</v>
      </c>
      <c r="AG296" s="22">
        <f t="shared" si="632"/>
        <v>0</v>
      </c>
      <c r="AH296" s="22">
        <f t="shared" si="632"/>
        <v>0</v>
      </c>
      <c r="AI296" s="22">
        <f t="shared" si="632"/>
        <v>2890585</v>
      </c>
      <c r="AJ296" s="22">
        <f t="shared" si="632"/>
        <v>0</v>
      </c>
      <c r="AK296" s="22">
        <f t="shared" ref="AK296:BQ296" si="633">SUM(AK302+AK312+AK304+AK306+AK308+AK310+AK314+AK297)</f>
        <v>0</v>
      </c>
      <c r="AL296" s="22">
        <f t="shared" si="633"/>
        <v>0</v>
      </c>
      <c r="AM296" s="22">
        <f t="shared" si="633"/>
        <v>0</v>
      </c>
      <c r="AN296" s="22">
        <f t="shared" si="633"/>
        <v>0</v>
      </c>
      <c r="AO296" s="22">
        <f t="shared" si="633"/>
        <v>0</v>
      </c>
      <c r="AP296" s="22">
        <f t="shared" si="633"/>
        <v>0</v>
      </c>
      <c r="AQ296" s="22">
        <f t="shared" si="633"/>
        <v>0</v>
      </c>
      <c r="AR296" s="22">
        <f t="shared" ref="AR296" si="634">SUM(AR302+AR312+AR304+AR306+AR308+AR310+AR314+AR297)</f>
        <v>0</v>
      </c>
      <c r="AS296" s="22">
        <f t="shared" si="633"/>
        <v>0</v>
      </c>
      <c r="AT296" s="22">
        <f t="shared" si="633"/>
        <v>0</v>
      </c>
      <c r="AU296" s="22">
        <f t="shared" si="633"/>
        <v>0</v>
      </c>
      <c r="AV296" s="22">
        <f t="shared" si="633"/>
        <v>0</v>
      </c>
      <c r="AW296" s="22">
        <f t="shared" si="633"/>
        <v>0</v>
      </c>
      <c r="AX296" s="22">
        <f t="shared" si="633"/>
        <v>8275002</v>
      </c>
      <c r="AY296" s="22">
        <f t="shared" si="633"/>
        <v>0</v>
      </c>
      <c r="AZ296" s="22">
        <f t="shared" si="633"/>
        <v>0</v>
      </c>
      <c r="BA296" s="22">
        <f t="shared" si="633"/>
        <v>0</v>
      </c>
      <c r="BB296" s="22">
        <f t="shared" si="633"/>
        <v>50964772</v>
      </c>
      <c r="BC296" s="22">
        <f t="shared" si="633"/>
        <v>244704498</v>
      </c>
      <c r="BD296" s="22">
        <f t="shared" si="633"/>
        <v>19244240</v>
      </c>
      <c r="BE296" s="22">
        <f t="shared" si="633"/>
        <v>19244240</v>
      </c>
      <c r="BF296" s="22">
        <f t="shared" si="633"/>
        <v>0</v>
      </c>
      <c r="BG296" s="22">
        <f t="shared" si="633"/>
        <v>0</v>
      </c>
      <c r="BH296" s="22">
        <f t="shared" si="633"/>
        <v>7159834</v>
      </c>
      <c r="BI296" s="22">
        <f t="shared" si="633"/>
        <v>1431526</v>
      </c>
      <c r="BJ296" s="22">
        <f t="shared" si="633"/>
        <v>0</v>
      </c>
      <c r="BK296" s="22">
        <f t="shared" si="633"/>
        <v>5728308</v>
      </c>
      <c r="BL296" s="22">
        <f t="shared" si="633"/>
        <v>168882753</v>
      </c>
      <c r="BM296" s="22">
        <f t="shared" si="633"/>
        <v>0</v>
      </c>
      <c r="BN296" s="22">
        <f t="shared" si="633"/>
        <v>0</v>
      </c>
      <c r="BO296" s="22">
        <f t="shared" si="633"/>
        <v>0</v>
      </c>
      <c r="BP296" s="22">
        <f t="shared" si="633"/>
        <v>0</v>
      </c>
      <c r="BQ296" s="22">
        <f t="shared" si="633"/>
        <v>49417671</v>
      </c>
      <c r="BR296" s="22">
        <f t="shared" ref="BR296:CO296" si="635">SUM(BR302+BR312+BR304+BR306+BR308+BR310+BR314+BR297)</f>
        <v>0</v>
      </c>
      <c r="BS296" s="22">
        <f t="shared" si="635"/>
        <v>0</v>
      </c>
      <c r="BT296" s="22">
        <f t="shared" si="635"/>
        <v>0</v>
      </c>
      <c r="BU296" s="22">
        <f t="shared" si="635"/>
        <v>0</v>
      </c>
      <c r="BV296" s="22">
        <f t="shared" si="635"/>
        <v>0</v>
      </c>
      <c r="BW296" s="22">
        <f t="shared" si="635"/>
        <v>0</v>
      </c>
      <c r="BX296" s="22">
        <f t="shared" si="635"/>
        <v>0</v>
      </c>
      <c r="BY296" s="22">
        <f t="shared" si="635"/>
        <v>1310400</v>
      </c>
      <c r="BZ296" s="22">
        <f t="shared" si="635"/>
        <v>0</v>
      </c>
      <c r="CA296" s="22">
        <f t="shared" si="635"/>
        <v>0</v>
      </c>
      <c r="CB296" s="22">
        <f t="shared" si="635"/>
        <v>48107271</v>
      </c>
      <c r="CC296" s="22">
        <f t="shared" si="635"/>
        <v>300869689</v>
      </c>
      <c r="CD296" s="22">
        <f t="shared" si="635"/>
        <v>288377834</v>
      </c>
      <c r="CE296" s="22">
        <f t="shared" si="635"/>
        <v>38682100</v>
      </c>
      <c r="CF296" s="22">
        <f t="shared" si="635"/>
        <v>0</v>
      </c>
      <c r="CG296" s="22">
        <f t="shared" si="635"/>
        <v>38682100</v>
      </c>
      <c r="CH296" s="22">
        <f t="shared" si="635"/>
        <v>123930036</v>
      </c>
      <c r="CI296" s="22">
        <f t="shared" si="635"/>
        <v>0</v>
      </c>
      <c r="CJ296" s="22">
        <f t="shared" si="635"/>
        <v>115470297</v>
      </c>
      <c r="CK296" s="22">
        <f t="shared" si="635"/>
        <v>7200000</v>
      </c>
      <c r="CL296" s="22">
        <f t="shared" si="635"/>
        <v>1259739</v>
      </c>
      <c r="CM296" s="22">
        <f t="shared" si="635"/>
        <v>125765698</v>
      </c>
      <c r="CN296" s="22">
        <f t="shared" si="635"/>
        <v>117951161</v>
      </c>
      <c r="CO296" s="22">
        <f t="shared" si="635"/>
        <v>5814537</v>
      </c>
      <c r="CP296" s="22"/>
      <c r="CQ296" s="22">
        <f t="shared" ref="CQ296:CX296" si="636">SUM(CQ302+CQ312+CQ304+CQ306+CQ308+CQ310+CQ314+CQ297)</f>
        <v>2000000</v>
      </c>
      <c r="CR296" s="22">
        <f t="shared" si="636"/>
        <v>0</v>
      </c>
      <c r="CS296" s="22">
        <f t="shared" si="636"/>
        <v>0</v>
      </c>
      <c r="CT296" s="22">
        <f t="shared" si="636"/>
        <v>12491855</v>
      </c>
      <c r="CU296" s="22">
        <f t="shared" si="636"/>
        <v>0</v>
      </c>
      <c r="CV296" s="22">
        <f t="shared" si="636"/>
        <v>0</v>
      </c>
      <c r="CW296" s="22">
        <f t="shared" si="636"/>
        <v>0</v>
      </c>
      <c r="CX296" s="23">
        <f t="shared" si="636"/>
        <v>0</v>
      </c>
    </row>
    <row r="297" spans="1:102" ht="15.75" x14ac:dyDescent="0.25">
      <c r="A297" s="7"/>
      <c r="B297" s="8" t="s">
        <v>417</v>
      </c>
      <c r="C297" s="8" t="s">
        <v>1</v>
      </c>
      <c r="D297" s="24" t="s">
        <v>418</v>
      </c>
      <c r="E297" s="10">
        <f>SUM(E298:E301)</f>
        <v>170797921</v>
      </c>
      <c r="F297" s="11">
        <f t="shared" ref="F297:BR297" si="637">SUM(F298:F301)</f>
        <v>170797921</v>
      </c>
      <c r="G297" s="11">
        <f t="shared" si="637"/>
        <v>483642</v>
      </c>
      <c r="H297" s="11">
        <f t="shared" si="637"/>
        <v>0</v>
      </c>
      <c r="I297" s="11">
        <f t="shared" si="637"/>
        <v>0</v>
      </c>
      <c r="J297" s="11">
        <f t="shared" si="637"/>
        <v>0</v>
      </c>
      <c r="K297" s="11">
        <f t="shared" si="637"/>
        <v>0</v>
      </c>
      <c r="L297" s="11">
        <f t="shared" si="637"/>
        <v>0</v>
      </c>
      <c r="M297" s="11">
        <f t="shared" si="637"/>
        <v>0</v>
      </c>
      <c r="N297" s="11">
        <f t="shared" si="637"/>
        <v>0</v>
      </c>
      <c r="O297" s="11">
        <f t="shared" si="637"/>
        <v>0</v>
      </c>
      <c r="P297" s="11">
        <f t="shared" si="637"/>
        <v>0</v>
      </c>
      <c r="Q297" s="11">
        <f t="shared" si="637"/>
        <v>0</v>
      </c>
      <c r="R297" s="11">
        <f t="shared" si="637"/>
        <v>0</v>
      </c>
      <c r="S297" s="11">
        <f t="shared" si="637"/>
        <v>0</v>
      </c>
      <c r="T297" s="11">
        <f t="shared" si="637"/>
        <v>0</v>
      </c>
      <c r="U297" s="11">
        <f t="shared" si="637"/>
        <v>0</v>
      </c>
      <c r="V297" s="11">
        <f t="shared" si="637"/>
        <v>0</v>
      </c>
      <c r="W297" s="11">
        <f t="shared" si="637"/>
        <v>0</v>
      </c>
      <c r="X297" s="11">
        <f t="shared" si="637"/>
        <v>0</v>
      </c>
      <c r="Y297" s="11">
        <f t="shared" si="637"/>
        <v>0</v>
      </c>
      <c r="Z297" s="11">
        <f t="shared" si="637"/>
        <v>0</v>
      </c>
      <c r="AA297" s="11">
        <f t="shared" si="637"/>
        <v>0</v>
      </c>
      <c r="AB297" s="11">
        <f t="shared" si="637"/>
        <v>0</v>
      </c>
      <c r="AC297" s="11">
        <f t="shared" si="637"/>
        <v>0</v>
      </c>
      <c r="AD297" s="11">
        <f t="shared" si="637"/>
        <v>0</v>
      </c>
      <c r="AE297" s="11">
        <f t="shared" si="637"/>
        <v>0</v>
      </c>
      <c r="AF297" s="11">
        <f t="shared" si="637"/>
        <v>483642</v>
      </c>
      <c r="AG297" s="11">
        <f t="shared" si="637"/>
        <v>0</v>
      </c>
      <c r="AH297" s="11">
        <f t="shared" si="637"/>
        <v>0</v>
      </c>
      <c r="AI297" s="11">
        <f t="shared" si="637"/>
        <v>0</v>
      </c>
      <c r="AJ297" s="11">
        <f t="shared" si="637"/>
        <v>0</v>
      </c>
      <c r="AK297" s="11">
        <f t="shared" si="637"/>
        <v>0</v>
      </c>
      <c r="AL297" s="11">
        <f t="shared" si="637"/>
        <v>0</v>
      </c>
      <c r="AM297" s="11">
        <f t="shared" si="637"/>
        <v>0</v>
      </c>
      <c r="AN297" s="11">
        <f t="shared" si="637"/>
        <v>0</v>
      </c>
      <c r="AO297" s="11">
        <f t="shared" si="637"/>
        <v>0</v>
      </c>
      <c r="AP297" s="11">
        <f t="shared" si="637"/>
        <v>0</v>
      </c>
      <c r="AQ297" s="11">
        <f t="shared" si="637"/>
        <v>0</v>
      </c>
      <c r="AR297" s="11">
        <f t="shared" ref="AR297" si="638">SUM(AR298:AR301)</f>
        <v>0</v>
      </c>
      <c r="AS297" s="11">
        <f t="shared" si="637"/>
        <v>0</v>
      </c>
      <c r="AT297" s="11">
        <f t="shared" si="637"/>
        <v>0</v>
      </c>
      <c r="AU297" s="11">
        <f t="shared" si="637"/>
        <v>0</v>
      </c>
      <c r="AV297" s="11">
        <f t="shared" si="637"/>
        <v>0</v>
      </c>
      <c r="AW297" s="11">
        <f t="shared" si="637"/>
        <v>0</v>
      </c>
      <c r="AX297" s="11">
        <f t="shared" si="637"/>
        <v>0</v>
      </c>
      <c r="AY297" s="11">
        <f t="shared" si="637"/>
        <v>0</v>
      </c>
      <c r="AZ297" s="11">
        <f t="shared" si="637"/>
        <v>0</v>
      </c>
      <c r="BA297" s="11">
        <f t="shared" si="637"/>
        <v>0</v>
      </c>
      <c r="BB297" s="11">
        <f t="shared" si="637"/>
        <v>483642</v>
      </c>
      <c r="BC297" s="11">
        <f t="shared" si="637"/>
        <v>170314279</v>
      </c>
      <c r="BD297" s="11">
        <f t="shared" si="637"/>
        <v>0</v>
      </c>
      <c r="BE297" s="11">
        <f t="shared" si="637"/>
        <v>0</v>
      </c>
      <c r="BF297" s="11">
        <f t="shared" si="637"/>
        <v>0</v>
      </c>
      <c r="BG297" s="11">
        <f t="shared" si="637"/>
        <v>0</v>
      </c>
      <c r="BH297" s="11">
        <f t="shared" si="637"/>
        <v>1431526</v>
      </c>
      <c r="BI297" s="11">
        <f t="shared" si="637"/>
        <v>1431526</v>
      </c>
      <c r="BJ297" s="11">
        <f t="shared" si="637"/>
        <v>0</v>
      </c>
      <c r="BK297" s="11">
        <f t="shared" si="637"/>
        <v>0</v>
      </c>
      <c r="BL297" s="11">
        <f t="shared" si="637"/>
        <v>168882753</v>
      </c>
      <c r="BM297" s="11">
        <f t="shared" si="637"/>
        <v>0</v>
      </c>
      <c r="BN297" s="11">
        <f t="shared" si="637"/>
        <v>0</v>
      </c>
      <c r="BO297" s="11">
        <f t="shared" si="637"/>
        <v>0</v>
      </c>
      <c r="BP297" s="11">
        <f t="shared" si="637"/>
        <v>0</v>
      </c>
      <c r="BQ297" s="11">
        <f t="shared" si="637"/>
        <v>0</v>
      </c>
      <c r="BR297" s="11">
        <f t="shared" si="637"/>
        <v>0</v>
      </c>
      <c r="BS297" s="11">
        <f t="shared" ref="BS297:CX297" si="639">SUM(BS298:BS301)</f>
        <v>0</v>
      </c>
      <c r="BT297" s="11">
        <f t="shared" si="639"/>
        <v>0</v>
      </c>
      <c r="BU297" s="11">
        <f t="shared" si="639"/>
        <v>0</v>
      </c>
      <c r="BV297" s="11">
        <f t="shared" si="639"/>
        <v>0</v>
      </c>
      <c r="BW297" s="11">
        <f t="shared" si="639"/>
        <v>0</v>
      </c>
      <c r="BX297" s="11">
        <f t="shared" si="639"/>
        <v>0</v>
      </c>
      <c r="BY297" s="11">
        <f t="shared" si="639"/>
        <v>0</v>
      </c>
      <c r="BZ297" s="11">
        <f t="shared" si="639"/>
        <v>0</v>
      </c>
      <c r="CA297" s="11">
        <f t="shared" si="639"/>
        <v>0</v>
      </c>
      <c r="CB297" s="11">
        <f t="shared" si="639"/>
        <v>0</v>
      </c>
      <c r="CC297" s="11">
        <f t="shared" si="639"/>
        <v>0</v>
      </c>
      <c r="CD297" s="11">
        <f t="shared" si="639"/>
        <v>0</v>
      </c>
      <c r="CE297" s="11">
        <f t="shared" si="639"/>
        <v>0</v>
      </c>
      <c r="CF297" s="11">
        <f t="shared" si="639"/>
        <v>0</v>
      </c>
      <c r="CG297" s="11">
        <f t="shared" si="639"/>
        <v>0</v>
      </c>
      <c r="CH297" s="11">
        <f t="shared" si="639"/>
        <v>0</v>
      </c>
      <c r="CI297" s="11">
        <f t="shared" si="639"/>
        <v>0</v>
      </c>
      <c r="CJ297" s="11">
        <f t="shared" si="639"/>
        <v>0</v>
      </c>
      <c r="CK297" s="11">
        <f t="shared" si="639"/>
        <v>0</v>
      </c>
      <c r="CL297" s="11">
        <f t="shared" si="639"/>
        <v>0</v>
      </c>
      <c r="CM297" s="11">
        <f t="shared" si="639"/>
        <v>0</v>
      </c>
      <c r="CN297" s="11">
        <f t="shared" si="639"/>
        <v>0</v>
      </c>
      <c r="CO297" s="11">
        <f t="shared" si="639"/>
        <v>0</v>
      </c>
      <c r="CP297" s="11">
        <f t="shared" si="639"/>
        <v>0</v>
      </c>
      <c r="CQ297" s="11">
        <f t="shared" si="639"/>
        <v>0</v>
      </c>
      <c r="CR297" s="11">
        <f t="shared" si="639"/>
        <v>0</v>
      </c>
      <c r="CS297" s="11">
        <f t="shared" si="639"/>
        <v>0</v>
      </c>
      <c r="CT297" s="11">
        <f t="shared" si="639"/>
        <v>0</v>
      </c>
      <c r="CU297" s="11">
        <f t="shared" si="639"/>
        <v>0</v>
      </c>
      <c r="CV297" s="11">
        <f t="shared" si="639"/>
        <v>0</v>
      </c>
      <c r="CW297" s="11">
        <f t="shared" si="639"/>
        <v>0</v>
      </c>
      <c r="CX297" s="12">
        <f t="shared" si="639"/>
        <v>0</v>
      </c>
    </row>
    <row r="298" spans="1:102" ht="15.75" x14ac:dyDescent="0.25">
      <c r="A298" s="7"/>
      <c r="B298" s="8"/>
      <c r="C298" s="14" t="s">
        <v>419</v>
      </c>
      <c r="D298" s="25" t="s">
        <v>603</v>
      </c>
      <c r="E298" s="10">
        <f>SUM(F298+CC298+CU298)</f>
        <v>483642</v>
      </c>
      <c r="F298" s="11">
        <f>SUM(G298+BC298)</f>
        <v>483642</v>
      </c>
      <c r="G298" s="11">
        <f>SUM(H298+I298+J298+Q298+T298+U298+V298+AF298+AE298)</f>
        <v>483642</v>
      </c>
      <c r="H298" s="11">
        <v>0</v>
      </c>
      <c r="I298" s="11">
        <v>0</v>
      </c>
      <c r="J298" s="11">
        <f>SUM(K298:P298)</f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f t="shared" ref="Q298" si="640">SUM(R298:S298)</f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f t="shared" ref="V298" si="641">SUM(W298:AD298)</f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f>SUM(AG298:BB298)</f>
        <v>483642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  <c r="AU298" s="11">
        <v>0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1">
        <v>0</v>
      </c>
      <c r="BB298" s="11">
        <f>0+483642</f>
        <v>483642</v>
      </c>
      <c r="BC298" s="11">
        <f>SUM(BD298+BH298+BL298+BN298+BQ298)</f>
        <v>0</v>
      </c>
      <c r="BD298" s="11">
        <f>SUM(BE298:BG298)</f>
        <v>0</v>
      </c>
      <c r="BE298" s="11">
        <v>0</v>
      </c>
      <c r="BF298" s="11">
        <v>0</v>
      </c>
      <c r="BG298" s="11">
        <v>0</v>
      </c>
      <c r="BH298" s="11">
        <f>SUM(BI298:BK298)</f>
        <v>0</v>
      </c>
      <c r="BI298" s="11"/>
      <c r="BJ298" s="11">
        <v>0</v>
      </c>
      <c r="BK298" s="11">
        <v>0</v>
      </c>
      <c r="BL298" s="11"/>
      <c r="BM298" s="11">
        <v>0</v>
      </c>
      <c r="BN298" s="11">
        <f t="shared" ref="BN298" si="642">SUM(BO298)</f>
        <v>0</v>
      </c>
      <c r="BO298" s="11">
        <v>0</v>
      </c>
      <c r="BP298" s="11">
        <v>0</v>
      </c>
      <c r="BQ298" s="11">
        <f t="shared" ref="BQ298" si="643">SUM(BR298:CB298)</f>
        <v>0</v>
      </c>
      <c r="BR298" s="11">
        <v>0</v>
      </c>
      <c r="BS298" s="11">
        <v>0</v>
      </c>
      <c r="BT298" s="11">
        <v>0</v>
      </c>
      <c r="BU298" s="11">
        <v>0</v>
      </c>
      <c r="BV298" s="11">
        <v>0</v>
      </c>
      <c r="BW298" s="11">
        <v>0</v>
      </c>
      <c r="BX298" s="11">
        <v>0</v>
      </c>
      <c r="BY298" s="11">
        <v>0</v>
      </c>
      <c r="BZ298" s="11">
        <v>0</v>
      </c>
      <c r="CA298" s="11">
        <v>0</v>
      </c>
      <c r="CB298" s="11">
        <v>0</v>
      </c>
      <c r="CC298" s="11">
        <f t="shared" ref="CC298:CC315" si="644">SUM(CD298+CT298)</f>
        <v>0</v>
      </c>
      <c r="CD298" s="11">
        <f>SUM(CE298+CH298+CM298)</f>
        <v>0</v>
      </c>
      <c r="CE298" s="11">
        <f t="shared" ref="CE298" si="645">SUM(CF298:CG298)</f>
        <v>0</v>
      </c>
      <c r="CF298" s="11">
        <v>0</v>
      </c>
      <c r="CG298" s="11">
        <v>0</v>
      </c>
      <c r="CH298" s="11">
        <f>SUM(CI298:CL298)</f>
        <v>0</v>
      </c>
      <c r="CI298" s="11">
        <v>0</v>
      </c>
      <c r="CJ298" s="11">
        <v>0</v>
      </c>
      <c r="CK298" s="11">
        <v>0</v>
      </c>
      <c r="CL298" s="11">
        <v>0</v>
      </c>
      <c r="CM298" s="11">
        <f>SUM(CN298:CQ298)</f>
        <v>0</v>
      </c>
      <c r="CN298" s="11">
        <v>0</v>
      </c>
      <c r="CO298" s="11">
        <v>0</v>
      </c>
      <c r="CP298" s="11"/>
      <c r="CQ298" s="11">
        <v>0</v>
      </c>
      <c r="CR298" s="11">
        <v>0</v>
      </c>
      <c r="CS298" s="11">
        <v>0</v>
      </c>
      <c r="CT298" s="11">
        <v>0</v>
      </c>
      <c r="CU298" s="11">
        <f t="shared" ref="CU298" si="646">SUM(CV298)</f>
        <v>0</v>
      </c>
      <c r="CV298" s="11">
        <f t="shared" ref="CV298" si="647">SUM(CW298:CX298)</f>
        <v>0</v>
      </c>
      <c r="CW298" s="11">
        <v>0</v>
      </c>
      <c r="CX298" s="12">
        <v>0</v>
      </c>
    </row>
    <row r="299" spans="1:102" ht="15.75" x14ac:dyDescent="0.25">
      <c r="A299" s="13"/>
      <c r="B299" s="14" t="s">
        <v>1</v>
      </c>
      <c r="C299" s="14" t="s">
        <v>419</v>
      </c>
      <c r="D299" s="25" t="s">
        <v>488</v>
      </c>
      <c r="E299" s="10">
        <f>SUM(F299+CC299+CU299)</f>
        <v>27646849</v>
      </c>
      <c r="F299" s="11">
        <f>SUM(G299+BC299)</f>
        <v>27646849</v>
      </c>
      <c r="G299" s="11">
        <f>SUM(H299+I299+J299+Q299+T299+U299+V299+AF299+AE299)</f>
        <v>0</v>
      </c>
      <c r="H299" s="11">
        <v>0</v>
      </c>
      <c r="I299" s="11">
        <v>0</v>
      </c>
      <c r="J299" s="11">
        <f>SUM(K299:P299)</f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f t="shared" ref="Q299:Q301" si="648">SUM(R299:S299)</f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f t="shared" ref="V299:V301" si="649">SUM(W299:AD299)</f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f>SUM(AG299:BB299)</f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0</v>
      </c>
      <c r="AU299" s="11">
        <v>0</v>
      </c>
      <c r="AV299" s="11">
        <v>0</v>
      </c>
      <c r="AW299" s="11">
        <v>0</v>
      </c>
      <c r="AX299" s="11">
        <v>0</v>
      </c>
      <c r="AY299" s="11">
        <v>0</v>
      </c>
      <c r="AZ299" s="11">
        <v>0</v>
      </c>
      <c r="BA299" s="11">
        <v>0</v>
      </c>
      <c r="BB299" s="11"/>
      <c r="BC299" s="11">
        <f>SUM(BD299+BH299+BL299+BN299+BQ299)</f>
        <v>27646849</v>
      </c>
      <c r="BD299" s="11">
        <f>SUM(BE299:BG299)</f>
        <v>0</v>
      </c>
      <c r="BE299" s="11">
        <v>0</v>
      </c>
      <c r="BF299" s="11">
        <v>0</v>
      </c>
      <c r="BG299" s="11">
        <v>0</v>
      </c>
      <c r="BH299" s="11">
        <f>SUM(BI299:BK299)</f>
        <v>0</v>
      </c>
      <c r="BI299" s="11"/>
      <c r="BJ299" s="11">
        <v>0</v>
      </c>
      <c r="BK299" s="11">
        <v>0</v>
      </c>
      <c r="BL299" s="11">
        <f>0+6874913+14800000+5971936</f>
        <v>27646849</v>
      </c>
      <c r="BM299" s="11">
        <v>0</v>
      </c>
      <c r="BN299" s="11">
        <f t="shared" ref="BN299:BN301" si="650">SUM(BO299)</f>
        <v>0</v>
      </c>
      <c r="BO299" s="11">
        <v>0</v>
      </c>
      <c r="BP299" s="11">
        <v>0</v>
      </c>
      <c r="BQ299" s="11">
        <f t="shared" ref="BQ299:BQ301" si="651">SUM(BR299:CB299)</f>
        <v>0</v>
      </c>
      <c r="BR299" s="11">
        <v>0</v>
      </c>
      <c r="BS299" s="11">
        <v>0</v>
      </c>
      <c r="BT299" s="11">
        <v>0</v>
      </c>
      <c r="BU299" s="11">
        <v>0</v>
      </c>
      <c r="BV299" s="11">
        <v>0</v>
      </c>
      <c r="BW299" s="11">
        <v>0</v>
      </c>
      <c r="BX299" s="11">
        <v>0</v>
      </c>
      <c r="BY299" s="11">
        <v>0</v>
      </c>
      <c r="BZ299" s="11">
        <v>0</v>
      </c>
      <c r="CA299" s="11">
        <v>0</v>
      </c>
      <c r="CB299" s="11">
        <v>0</v>
      </c>
      <c r="CC299" s="11">
        <f t="shared" si="644"/>
        <v>0</v>
      </c>
      <c r="CD299" s="11">
        <f>SUM(CE299+CH299+CM299)</f>
        <v>0</v>
      </c>
      <c r="CE299" s="11">
        <f t="shared" ref="CE299:CE301" si="652">SUM(CF299:CG299)</f>
        <v>0</v>
      </c>
      <c r="CF299" s="11">
        <v>0</v>
      </c>
      <c r="CG299" s="11">
        <v>0</v>
      </c>
      <c r="CH299" s="11">
        <f>SUM(CI299:CL299)</f>
        <v>0</v>
      </c>
      <c r="CI299" s="11">
        <v>0</v>
      </c>
      <c r="CJ299" s="11">
        <v>0</v>
      </c>
      <c r="CK299" s="11">
        <v>0</v>
      </c>
      <c r="CL299" s="11">
        <v>0</v>
      </c>
      <c r="CM299" s="11">
        <f>SUM(CN299:CQ299)</f>
        <v>0</v>
      </c>
      <c r="CN299" s="11">
        <v>0</v>
      </c>
      <c r="CO299" s="11">
        <v>0</v>
      </c>
      <c r="CP299" s="11"/>
      <c r="CQ299" s="11">
        <v>0</v>
      </c>
      <c r="CR299" s="11">
        <v>0</v>
      </c>
      <c r="CS299" s="11">
        <v>0</v>
      </c>
      <c r="CT299" s="11">
        <v>0</v>
      </c>
      <c r="CU299" s="11">
        <f t="shared" ref="CU299:CU301" si="653">SUM(CV299)</f>
        <v>0</v>
      </c>
      <c r="CV299" s="11">
        <f t="shared" ref="CV299:CV301" si="654">SUM(CW299:CX299)</f>
        <v>0</v>
      </c>
      <c r="CW299" s="11">
        <v>0</v>
      </c>
      <c r="CX299" s="12">
        <v>0</v>
      </c>
    </row>
    <row r="300" spans="1:102" ht="15.75" x14ac:dyDescent="0.25">
      <c r="A300" s="13"/>
      <c r="B300" s="14" t="s">
        <v>1</v>
      </c>
      <c r="C300" s="14" t="s">
        <v>419</v>
      </c>
      <c r="D300" s="25" t="s">
        <v>420</v>
      </c>
      <c r="E300" s="10">
        <f>SUM(F300+CC300+CU300)</f>
        <v>1431526</v>
      </c>
      <c r="F300" s="11">
        <f>SUM(G300+BC300)</f>
        <v>1431526</v>
      </c>
      <c r="G300" s="11">
        <f>SUM(H300+I300+J300+Q300+T300+U300+V300+AF300+AE300)</f>
        <v>0</v>
      </c>
      <c r="H300" s="11">
        <v>0</v>
      </c>
      <c r="I300" s="11">
        <v>0</v>
      </c>
      <c r="J300" s="11">
        <f>SUM(K300:P300)</f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f t="shared" si="648"/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f t="shared" si="649"/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f>SUM(AG300:BB300)</f>
        <v>0</v>
      </c>
      <c r="AG300" s="11">
        <v>0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1">
        <v>0</v>
      </c>
      <c r="AU300" s="11">
        <v>0</v>
      </c>
      <c r="AV300" s="11">
        <v>0</v>
      </c>
      <c r="AW300" s="11">
        <v>0</v>
      </c>
      <c r="AX300" s="11">
        <v>0</v>
      </c>
      <c r="AY300" s="11">
        <v>0</v>
      </c>
      <c r="AZ300" s="11">
        <v>0</v>
      </c>
      <c r="BA300" s="11">
        <v>0</v>
      </c>
      <c r="BB300" s="11"/>
      <c r="BC300" s="11">
        <f>SUM(BD300+BH300+BL300+BN300+BQ300)</f>
        <v>1431526</v>
      </c>
      <c r="BD300" s="11">
        <f>SUM(BE300:BG300)</f>
        <v>0</v>
      </c>
      <c r="BE300" s="11">
        <v>0</v>
      </c>
      <c r="BF300" s="11">
        <v>0</v>
      </c>
      <c r="BG300" s="11">
        <v>0</v>
      </c>
      <c r="BH300" s="11">
        <f>SUM(BI300:BK300)</f>
        <v>1431526</v>
      </c>
      <c r="BI300" s="11">
        <f>1151526+280000</f>
        <v>1431526</v>
      </c>
      <c r="BJ300" s="11">
        <v>0</v>
      </c>
      <c r="BK300" s="11">
        <v>0</v>
      </c>
      <c r="BL300" s="11">
        <v>0</v>
      </c>
      <c r="BM300" s="11">
        <v>0</v>
      </c>
      <c r="BN300" s="11">
        <f t="shared" ref="BN300" si="655">SUM(BO300)</f>
        <v>0</v>
      </c>
      <c r="BO300" s="11">
        <v>0</v>
      </c>
      <c r="BP300" s="11">
        <v>0</v>
      </c>
      <c r="BQ300" s="11">
        <f t="shared" si="651"/>
        <v>0</v>
      </c>
      <c r="BR300" s="11">
        <v>0</v>
      </c>
      <c r="BS300" s="11">
        <v>0</v>
      </c>
      <c r="BT300" s="11">
        <v>0</v>
      </c>
      <c r="BU300" s="11">
        <v>0</v>
      </c>
      <c r="BV300" s="11">
        <v>0</v>
      </c>
      <c r="BW300" s="11">
        <v>0</v>
      </c>
      <c r="BX300" s="11">
        <v>0</v>
      </c>
      <c r="BY300" s="11">
        <v>0</v>
      </c>
      <c r="BZ300" s="11">
        <v>0</v>
      </c>
      <c r="CA300" s="11">
        <v>0</v>
      </c>
      <c r="CB300" s="11">
        <v>0</v>
      </c>
      <c r="CC300" s="11">
        <f t="shared" si="644"/>
        <v>0</v>
      </c>
      <c r="CD300" s="11">
        <f>SUM(CE300+CH300+CM300)</f>
        <v>0</v>
      </c>
      <c r="CE300" s="11">
        <f t="shared" ref="CE300" si="656">SUM(CF300:CG300)</f>
        <v>0</v>
      </c>
      <c r="CF300" s="11">
        <v>0</v>
      </c>
      <c r="CG300" s="11">
        <v>0</v>
      </c>
      <c r="CH300" s="11">
        <f>SUM(CI300:CL300)</f>
        <v>0</v>
      </c>
      <c r="CI300" s="11">
        <v>0</v>
      </c>
      <c r="CJ300" s="11">
        <v>0</v>
      </c>
      <c r="CK300" s="11">
        <v>0</v>
      </c>
      <c r="CL300" s="11">
        <v>0</v>
      </c>
      <c r="CM300" s="11">
        <f>SUM(CN300:CQ300)</f>
        <v>0</v>
      </c>
      <c r="CN300" s="11">
        <v>0</v>
      </c>
      <c r="CO300" s="11">
        <v>0</v>
      </c>
      <c r="CP300" s="11"/>
      <c r="CQ300" s="11">
        <v>0</v>
      </c>
      <c r="CR300" s="11">
        <v>0</v>
      </c>
      <c r="CS300" s="11">
        <v>0</v>
      </c>
      <c r="CT300" s="11">
        <v>0</v>
      </c>
      <c r="CU300" s="11">
        <f t="shared" si="653"/>
        <v>0</v>
      </c>
      <c r="CV300" s="11">
        <f t="shared" si="654"/>
        <v>0</v>
      </c>
      <c r="CW300" s="11">
        <v>0</v>
      </c>
      <c r="CX300" s="12">
        <v>0</v>
      </c>
    </row>
    <row r="301" spans="1:102" ht="31.5" x14ac:dyDescent="0.25">
      <c r="A301" s="13"/>
      <c r="B301" s="14" t="s">
        <v>1</v>
      </c>
      <c r="C301" s="14" t="s">
        <v>419</v>
      </c>
      <c r="D301" s="25" t="s">
        <v>421</v>
      </c>
      <c r="E301" s="10">
        <f>SUM(F301+CC301+CU301)</f>
        <v>141235904</v>
      </c>
      <c r="F301" s="11">
        <f>SUM(G301+BC301)</f>
        <v>141235904</v>
      </c>
      <c r="G301" s="11">
        <f>SUM(H301+I301+J301+Q301+T301+U301+V301+AF301+AE301)</f>
        <v>0</v>
      </c>
      <c r="H301" s="11"/>
      <c r="I301" s="11"/>
      <c r="J301" s="11">
        <f>SUM(K301:P301)</f>
        <v>0</v>
      </c>
      <c r="K301" s="11">
        <v>0</v>
      </c>
      <c r="L301" s="11">
        <v>0</v>
      </c>
      <c r="M301" s="11">
        <v>0</v>
      </c>
      <c r="N301" s="11">
        <v>0</v>
      </c>
      <c r="O301" s="11"/>
      <c r="P301" s="11"/>
      <c r="Q301" s="11">
        <f t="shared" si="648"/>
        <v>0</v>
      </c>
      <c r="R301" s="11">
        <v>0</v>
      </c>
      <c r="S301" s="11"/>
      <c r="T301" s="11">
        <v>0</v>
      </c>
      <c r="U301" s="11"/>
      <c r="V301" s="11">
        <f t="shared" si="649"/>
        <v>0</v>
      </c>
      <c r="W301" s="11">
        <v>0</v>
      </c>
      <c r="X301" s="11"/>
      <c r="Y301" s="11"/>
      <c r="Z301" s="11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f>SUM(AG301:BB301)</f>
        <v>0</v>
      </c>
      <c r="AG301" s="11">
        <v>0</v>
      </c>
      <c r="AH301" s="11"/>
      <c r="AI301" s="11"/>
      <c r="AJ301" s="11"/>
      <c r="AK301" s="11"/>
      <c r="AL301" s="11"/>
      <c r="AM301" s="11"/>
      <c r="AN301" s="11"/>
      <c r="AO301" s="11">
        <v>0</v>
      </c>
      <c r="AP301" s="11"/>
      <c r="AQ301" s="11"/>
      <c r="AR301" s="11"/>
      <c r="AS301" s="11"/>
      <c r="AT301" s="27"/>
      <c r="AU301" s="27"/>
      <c r="AV301" s="27">
        <v>0</v>
      </c>
      <c r="AW301" s="27">
        <v>0</v>
      </c>
      <c r="AX301" s="27">
        <v>0</v>
      </c>
      <c r="AY301" s="27">
        <f>0</f>
        <v>0</v>
      </c>
      <c r="AZ301" s="11">
        <v>0</v>
      </c>
      <c r="BA301" s="11">
        <v>0</v>
      </c>
      <c r="BB301" s="11"/>
      <c r="BC301" s="11">
        <f>SUM(BD301+BH301+BL301+BN301+BQ301)</f>
        <v>141235904</v>
      </c>
      <c r="BD301" s="11">
        <f>SUM(BE301:BG301)</f>
        <v>0</v>
      </c>
      <c r="BE301" s="11">
        <v>0</v>
      </c>
      <c r="BF301" s="11">
        <v>0</v>
      </c>
      <c r="BG301" s="11">
        <v>0</v>
      </c>
      <c r="BH301" s="11">
        <f t="shared" ref="BH301" si="657">SUM(BJ301:BK301)</f>
        <v>0</v>
      </c>
      <c r="BI301" s="11">
        <v>0</v>
      </c>
      <c r="BJ301" s="11">
        <v>0</v>
      </c>
      <c r="BK301" s="11">
        <v>0</v>
      </c>
      <c r="BL301" s="11">
        <f>139449904-2382384+2382384+380000+1406000</f>
        <v>141235904</v>
      </c>
      <c r="BM301" s="11">
        <v>0</v>
      </c>
      <c r="BN301" s="11">
        <f t="shared" si="650"/>
        <v>0</v>
      </c>
      <c r="BO301" s="11">
        <v>0</v>
      </c>
      <c r="BP301" s="11">
        <v>0</v>
      </c>
      <c r="BQ301" s="11">
        <f t="shared" si="651"/>
        <v>0</v>
      </c>
      <c r="BR301" s="11">
        <v>0</v>
      </c>
      <c r="BS301" s="11">
        <v>0</v>
      </c>
      <c r="BT301" s="11">
        <v>0</v>
      </c>
      <c r="BU301" s="11">
        <v>0</v>
      </c>
      <c r="BV301" s="11">
        <v>0</v>
      </c>
      <c r="BW301" s="11">
        <v>0</v>
      </c>
      <c r="BX301" s="11">
        <v>0</v>
      </c>
      <c r="BY301" s="11">
        <v>0</v>
      </c>
      <c r="BZ301" s="11">
        <v>0</v>
      </c>
      <c r="CA301" s="11"/>
      <c r="CB301" s="11">
        <v>0</v>
      </c>
      <c r="CC301" s="11">
        <f t="shared" si="644"/>
        <v>0</v>
      </c>
      <c r="CD301" s="11">
        <f>SUM(CE301+CH301+CM301)</f>
        <v>0</v>
      </c>
      <c r="CE301" s="11">
        <f t="shared" si="652"/>
        <v>0</v>
      </c>
      <c r="CF301" s="11">
        <v>0</v>
      </c>
      <c r="CG301" s="11"/>
      <c r="CH301" s="11">
        <f>SUM(CI301:CL301)</f>
        <v>0</v>
      </c>
      <c r="CI301" s="11">
        <v>0</v>
      </c>
      <c r="CJ301" s="11">
        <v>0</v>
      </c>
      <c r="CK301" s="11">
        <v>0</v>
      </c>
      <c r="CL301" s="11">
        <v>0</v>
      </c>
      <c r="CM301" s="11">
        <f>SUM(CN301:CQ301)</f>
        <v>0</v>
      </c>
      <c r="CN301" s="11">
        <v>0</v>
      </c>
      <c r="CO301" s="11">
        <v>0</v>
      </c>
      <c r="CP301" s="11"/>
      <c r="CQ301" s="11">
        <v>0</v>
      </c>
      <c r="CR301" s="11">
        <v>0</v>
      </c>
      <c r="CS301" s="11">
        <v>0</v>
      </c>
      <c r="CT301" s="11">
        <v>0</v>
      </c>
      <c r="CU301" s="11">
        <f t="shared" si="653"/>
        <v>0</v>
      </c>
      <c r="CV301" s="11">
        <f t="shared" si="654"/>
        <v>0</v>
      </c>
      <c r="CW301" s="11">
        <v>0</v>
      </c>
      <c r="CX301" s="12">
        <v>0</v>
      </c>
    </row>
    <row r="302" spans="1:102" ht="31.5" x14ac:dyDescent="0.25">
      <c r="A302" s="7"/>
      <c r="B302" s="8" t="s">
        <v>422</v>
      </c>
      <c r="C302" s="8" t="s">
        <v>1</v>
      </c>
      <c r="D302" s="9" t="s">
        <v>423</v>
      </c>
      <c r="E302" s="10">
        <f t="shared" ref="E302:AJ302" si="658">SUM(E303)</f>
        <v>5728308</v>
      </c>
      <c r="F302" s="11">
        <f t="shared" si="658"/>
        <v>5728308</v>
      </c>
      <c r="G302" s="11">
        <f t="shared" si="658"/>
        <v>0</v>
      </c>
      <c r="H302" s="11">
        <f t="shared" si="658"/>
        <v>0</v>
      </c>
      <c r="I302" s="11">
        <f t="shared" si="658"/>
        <v>0</v>
      </c>
      <c r="J302" s="11">
        <f t="shared" si="658"/>
        <v>0</v>
      </c>
      <c r="K302" s="11">
        <f t="shared" si="658"/>
        <v>0</v>
      </c>
      <c r="L302" s="11">
        <f t="shared" si="658"/>
        <v>0</v>
      </c>
      <c r="M302" s="11">
        <f t="shared" si="658"/>
        <v>0</v>
      </c>
      <c r="N302" s="11">
        <f t="shared" si="658"/>
        <v>0</v>
      </c>
      <c r="O302" s="11">
        <f t="shared" si="658"/>
        <v>0</v>
      </c>
      <c r="P302" s="11">
        <f t="shared" si="658"/>
        <v>0</v>
      </c>
      <c r="Q302" s="11">
        <f t="shared" si="658"/>
        <v>0</v>
      </c>
      <c r="R302" s="11">
        <f t="shared" si="658"/>
        <v>0</v>
      </c>
      <c r="S302" s="11">
        <f t="shared" si="658"/>
        <v>0</v>
      </c>
      <c r="T302" s="11">
        <f t="shared" si="658"/>
        <v>0</v>
      </c>
      <c r="U302" s="11">
        <f t="shared" si="658"/>
        <v>0</v>
      </c>
      <c r="V302" s="11">
        <f t="shared" si="658"/>
        <v>0</v>
      </c>
      <c r="W302" s="11">
        <f t="shared" si="658"/>
        <v>0</v>
      </c>
      <c r="X302" s="11">
        <f t="shared" si="658"/>
        <v>0</v>
      </c>
      <c r="Y302" s="11">
        <f t="shared" si="658"/>
        <v>0</v>
      </c>
      <c r="Z302" s="11">
        <f t="shared" si="658"/>
        <v>0</v>
      </c>
      <c r="AA302" s="11">
        <f t="shared" si="658"/>
        <v>0</v>
      </c>
      <c r="AB302" s="11">
        <f t="shared" si="658"/>
        <v>0</v>
      </c>
      <c r="AC302" s="11">
        <f t="shared" si="658"/>
        <v>0</v>
      </c>
      <c r="AD302" s="11">
        <f t="shared" si="658"/>
        <v>0</v>
      </c>
      <c r="AE302" s="11">
        <f t="shared" si="658"/>
        <v>0</v>
      </c>
      <c r="AF302" s="11">
        <f t="shared" si="658"/>
        <v>0</v>
      </c>
      <c r="AG302" s="11">
        <f t="shared" si="658"/>
        <v>0</v>
      </c>
      <c r="AH302" s="11">
        <f t="shared" si="658"/>
        <v>0</v>
      </c>
      <c r="AI302" s="11">
        <f t="shared" si="658"/>
        <v>0</v>
      </c>
      <c r="AJ302" s="11">
        <f t="shared" si="658"/>
        <v>0</v>
      </c>
      <c r="AK302" s="11">
        <f t="shared" ref="AK302:CV302" si="659">SUM(AK303)</f>
        <v>0</v>
      </c>
      <c r="AL302" s="11">
        <f t="shared" si="659"/>
        <v>0</v>
      </c>
      <c r="AM302" s="11">
        <f t="shared" si="659"/>
        <v>0</v>
      </c>
      <c r="AN302" s="11">
        <f t="shared" si="659"/>
        <v>0</v>
      </c>
      <c r="AO302" s="11">
        <f t="shared" si="659"/>
        <v>0</v>
      </c>
      <c r="AP302" s="11">
        <f t="shared" si="659"/>
        <v>0</v>
      </c>
      <c r="AQ302" s="11">
        <f t="shared" si="659"/>
        <v>0</v>
      </c>
      <c r="AR302" s="11">
        <f t="shared" si="659"/>
        <v>0</v>
      </c>
      <c r="AS302" s="11">
        <f t="shared" si="659"/>
        <v>0</v>
      </c>
      <c r="AT302" s="11">
        <f t="shared" si="659"/>
        <v>0</v>
      </c>
      <c r="AU302" s="11">
        <f t="shared" si="659"/>
        <v>0</v>
      </c>
      <c r="AV302" s="11">
        <f t="shared" si="659"/>
        <v>0</v>
      </c>
      <c r="AW302" s="11">
        <f t="shared" si="659"/>
        <v>0</v>
      </c>
      <c r="AX302" s="11">
        <f t="shared" si="659"/>
        <v>0</v>
      </c>
      <c r="AY302" s="11">
        <f t="shared" si="659"/>
        <v>0</v>
      </c>
      <c r="AZ302" s="11">
        <f t="shared" si="659"/>
        <v>0</v>
      </c>
      <c r="BA302" s="11">
        <f t="shared" si="659"/>
        <v>0</v>
      </c>
      <c r="BB302" s="11">
        <f t="shared" si="659"/>
        <v>0</v>
      </c>
      <c r="BC302" s="11">
        <f t="shared" si="659"/>
        <v>5728308</v>
      </c>
      <c r="BD302" s="11">
        <f t="shared" si="659"/>
        <v>0</v>
      </c>
      <c r="BE302" s="11">
        <f t="shared" si="659"/>
        <v>0</v>
      </c>
      <c r="BF302" s="11">
        <f t="shared" si="659"/>
        <v>0</v>
      </c>
      <c r="BG302" s="11">
        <f t="shared" si="659"/>
        <v>0</v>
      </c>
      <c r="BH302" s="11">
        <f t="shared" si="659"/>
        <v>5728308</v>
      </c>
      <c r="BI302" s="11">
        <f t="shared" si="659"/>
        <v>0</v>
      </c>
      <c r="BJ302" s="11">
        <f t="shared" si="659"/>
        <v>0</v>
      </c>
      <c r="BK302" s="11">
        <f t="shared" si="659"/>
        <v>5728308</v>
      </c>
      <c r="BL302" s="11">
        <f t="shared" si="659"/>
        <v>0</v>
      </c>
      <c r="BM302" s="11">
        <f t="shared" si="659"/>
        <v>0</v>
      </c>
      <c r="BN302" s="11">
        <f t="shared" si="659"/>
        <v>0</v>
      </c>
      <c r="BO302" s="11">
        <f t="shared" si="659"/>
        <v>0</v>
      </c>
      <c r="BP302" s="11">
        <f t="shared" si="659"/>
        <v>0</v>
      </c>
      <c r="BQ302" s="11">
        <f t="shared" si="659"/>
        <v>0</v>
      </c>
      <c r="BR302" s="11">
        <f t="shared" si="659"/>
        <v>0</v>
      </c>
      <c r="BS302" s="11">
        <f t="shared" si="659"/>
        <v>0</v>
      </c>
      <c r="BT302" s="11">
        <f t="shared" si="659"/>
        <v>0</v>
      </c>
      <c r="BU302" s="11">
        <f t="shared" si="659"/>
        <v>0</v>
      </c>
      <c r="BV302" s="11">
        <f t="shared" si="659"/>
        <v>0</v>
      </c>
      <c r="BW302" s="11">
        <f t="shared" si="659"/>
        <v>0</v>
      </c>
      <c r="BX302" s="11">
        <f t="shared" si="659"/>
        <v>0</v>
      </c>
      <c r="BY302" s="11">
        <f t="shared" si="659"/>
        <v>0</v>
      </c>
      <c r="BZ302" s="11">
        <f t="shared" si="659"/>
        <v>0</v>
      </c>
      <c r="CA302" s="11">
        <f t="shared" si="659"/>
        <v>0</v>
      </c>
      <c r="CB302" s="11">
        <f t="shared" si="659"/>
        <v>0</v>
      </c>
      <c r="CC302" s="11">
        <f t="shared" si="644"/>
        <v>0</v>
      </c>
      <c r="CD302" s="11">
        <f t="shared" si="659"/>
        <v>0</v>
      </c>
      <c r="CE302" s="11">
        <f t="shared" si="659"/>
        <v>0</v>
      </c>
      <c r="CF302" s="11">
        <f t="shared" si="659"/>
        <v>0</v>
      </c>
      <c r="CG302" s="11">
        <f t="shared" si="659"/>
        <v>0</v>
      </c>
      <c r="CH302" s="11">
        <f t="shared" si="659"/>
        <v>0</v>
      </c>
      <c r="CI302" s="11">
        <f t="shared" si="659"/>
        <v>0</v>
      </c>
      <c r="CJ302" s="11">
        <f t="shared" si="659"/>
        <v>0</v>
      </c>
      <c r="CK302" s="11">
        <f t="shared" si="659"/>
        <v>0</v>
      </c>
      <c r="CL302" s="11">
        <f t="shared" si="659"/>
        <v>0</v>
      </c>
      <c r="CM302" s="11">
        <f t="shared" si="659"/>
        <v>0</v>
      </c>
      <c r="CN302" s="11">
        <f t="shared" si="659"/>
        <v>0</v>
      </c>
      <c r="CO302" s="11">
        <f t="shared" si="659"/>
        <v>0</v>
      </c>
      <c r="CP302" s="11"/>
      <c r="CQ302" s="11">
        <f t="shared" si="659"/>
        <v>0</v>
      </c>
      <c r="CR302" s="11">
        <f t="shared" si="659"/>
        <v>0</v>
      </c>
      <c r="CS302" s="11">
        <f t="shared" si="659"/>
        <v>0</v>
      </c>
      <c r="CT302" s="11">
        <f t="shared" si="659"/>
        <v>0</v>
      </c>
      <c r="CU302" s="11">
        <f t="shared" si="659"/>
        <v>0</v>
      </c>
      <c r="CV302" s="11">
        <f t="shared" si="659"/>
        <v>0</v>
      </c>
      <c r="CW302" s="11">
        <f t="shared" ref="CW302:CX302" si="660">SUM(CW303)</f>
        <v>0</v>
      </c>
      <c r="CX302" s="12">
        <f t="shared" si="660"/>
        <v>0</v>
      </c>
    </row>
    <row r="303" spans="1:102" ht="31.5" x14ac:dyDescent="0.25">
      <c r="A303" s="13"/>
      <c r="B303" s="14" t="s">
        <v>1</v>
      </c>
      <c r="C303" s="14" t="s">
        <v>424</v>
      </c>
      <c r="D303" s="15" t="s">
        <v>423</v>
      </c>
      <c r="E303" s="10">
        <f>SUM(F303+CC303+CU303)</f>
        <v>5728308</v>
      </c>
      <c r="F303" s="11">
        <f>SUM(G303+BC303)</f>
        <v>5728308</v>
      </c>
      <c r="G303" s="11">
        <f>SUM(H303+I303+J303+Q303+T303+U303+V303+AF303+AE303)</f>
        <v>0</v>
      </c>
      <c r="H303" s="11">
        <v>0</v>
      </c>
      <c r="I303" s="11">
        <v>0</v>
      </c>
      <c r="J303" s="11">
        <f>SUM(K303:P303)</f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f>SUM(R303:S303)</f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f t="shared" ref="V303" si="661">SUM(W303:AD303)</f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f>SUM(AG303:BB303)</f>
        <v>0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1">
        <v>0</v>
      </c>
      <c r="AU303" s="11">
        <v>0</v>
      </c>
      <c r="AV303" s="11">
        <v>0</v>
      </c>
      <c r="AW303" s="11">
        <v>0</v>
      </c>
      <c r="AX303" s="11">
        <v>0</v>
      </c>
      <c r="AY303" s="11">
        <v>0</v>
      </c>
      <c r="AZ303" s="11">
        <v>0</v>
      </c>
      <c r="BA303" s="11">
        <v>0</v>
      </c>
      <c r="BB303" s="11">
        <v>0</v>
      </c>
      <c r="BC303" s="11">
        <f>SUM(BD303+BH303+BL303+BN303+BQ303)</f>
        <v>5728308</v>
      </c>
      <c r="BD303" s="11">
        <f>SUM(BE303:BG303)</f>
        <v>0</v>
      </c>
      <c r="BE303" s="11">
        <v>0</v>
      </c>
      <c r="BF303" s="11">
        <v>0</v>
      </c>
      <c r="BG303" s="11">
        <v>0</v>
      </c>
      <c r="BH303" s="11">
        <f>SUM(BJ303:BK303)</f>
        <v>5728308</v>
      </c>
      <c r="BI303" s="11">
        <v>0</v>
      </c>
      <c r="BJ303" s="11">
        <v>0</v>
      </c>
      <c r="BK303" s="11">
        <f>5720162+8146</f>
        <v>5728308</v>
      </c>
      <c r="BL303" s="11">
        <v>0</v>
      </c>
      <c r="BM303" s="11">
        <v>0</v>
      </c>
      <c r="BN303" s="11">
        <f>SUM(BO303)</f>
        <v>0</v>
      </c>
      <c r="BO303" s="11">
        <v>0</v>
      </c>
      <c r="BP303" s="11">
        <v>0</v>
      </c>
      <c r="BQ303" s="11">
        <f>SUM(BR303:CB303)</f>
        <v>0</v>
      </c>
      <c r="BR303" s="11">
        <v>0</v>
      </c>
      <c r="BS303" s="11">
        <v>0</v>
      </c>
      <c r="BT303" s="11">
        <v>0</v>
      </c>
      <c r="BU303" s="11">
        <v>0</v>
      </c>
      <c r="BV303" s="11">
        <v>0</v>
      </c>
      <c r="BW303" s="11">
        <v>0</v>
      </c>
      <c r="BX303" s="11">
        <v>0</v>
      </c>
      <c r="BY303" s="11">
        <v>0</v>
      </c>
      <c r="BZ303" s="11">
        <v>0</v>
      </c>
      <c r="CA303" s="11">
        <v>0</v>
      </c>
      <c r="CB303" s="11">
        <v>0</v>
      </c>
      <c r="CC303" s="11">
        <f t="shared" si="644"/>
        <v>0</v>
      </c>
      <c r="CD303" s="11">
        <f>SUM(CE303+CH303+CM303)</f>
        <v>0</v>
      </c>
      <c r="CE303" s="11">
        <f>SUM(CF303:CG303)</f>
        <v>0</v>
      </c>
      <c r="CF303" s="11">
        <v>0</v>
      </c>
      <c r="CG303" s="11">
        <v>0</v>
      </c>
      <c r="CH303" s="11">
        <f>SUM(CI303:CL303)</f>
        <v>0</v>
      </c>
      <c r="CI303" s="11">
        <v>0</v>
      </c>
      <c r="CJ303" s="11">
        <v>0</v>
      </c>
      <c r="CK303" s="11">
        <v>0</v>
      </c>
      <c r="CL303" s="11">
        <v>0</v>
      </c>
      <c r="CM303" s="11">
        <f>SUM(CN303:CQ303)</f>
        <v>0</v>
      </c>
      <c r="CN303" s="11">
        <v>0</v>
      </c>
      <c r="CO303" s="11">
        <v>0</v>
      </c>
      <c r="CP303" s="11"/>
      <c r="CQ303" s="11">
        <v>0</v>
      </c>
      <c r="CR303" s="11">
        <v>0</v>
      </c>
      <c r="CS303" s="11">
        <v>0</v>
      </c>
      <c r="CT303" s="11">
        <v>0</v>
      </c>
      <c r="CU303" s="11">
        <f>SUM(CV303)</f>
        <v>0</v>
      </c>
      <c r="CV303" s="11">
        <f>SUM(CW303:CX303)</f>
        <v>0</v>
      </c>
      <c r="CW303" s="11">
        <v>0</v>
      </c>
      <c r="CX303" s="12">
        <v>0</v>
      </c>
    </row>
    <row r="304" spans="1:102" ht="31.5" x14ac:dyDescent="0.25">
      <c r="A304" s="7"/>
      <c r="B304" s="8" t="s">
        <v>425</v>
      </c>
      <c r="C304" s="8" t="s">
        <v>1</v>
      </c>
      <c r="D304" s="9" t="s">
        <v>426</v>
      </c>
      <c r="E304" s="10">
        <f t="shared" ref="E304:AL304" si="662">SUM(E305)</f>
        <v>35669042</v>
      </c>
      <c r="F304" s="11">
        <f t="shared" si="662"/>
        <v>35669042</v>
      </c>
      <c r="G304" s="11">
        <f t="shared" si="662"/>
        <v>0</v>
      </c>
      <c r="H304" s="11">
        <f t="shared" si="662"/>
        <v>0</v>
      </c>
      <c r="I304" s="11">
        <f t="shared" si="662"/>
        <v>0</v>
      </c>
      <c r="J304" s="11">
        <f t="shared" si="662"/>
        <v>0</v>
      </c>
      <c r="K304" s="11">
        <f t="shared" si="662"/>
        <v>0</v>
      </c>
      <c r="L304" s="11">
        <f t="shared" si="662"/>
        <v>0</v>
      </c>
      <c r="M304" s="11">
        <f t="shared" si="662"/>
        <v>0</v>
      </c>
      <c r="N304" s="11">
        <f t="shared" si="662"/>
        <v>0</v>
      </c>
      <c r="O304" s="11">
        <f t="shared" si="662"/>
        <v>0</v>
      </c>
      <c r="P304" s="11">
        <f t="shared" si="662"/>
        <v>0</v>
      </c>
      <c r="Q304" s="11">
        <f t="shared" si="662"/>
        <v>0</v>
      </c>
      <c r="R304" s="11">
        <f t="shared" si="662"/>
        <v>0</v>
      </c>
      <c r="S304" s="11">
        <f t="shared" si="662"/>
        <v>0</v>
      </c>
      <c r="T304" s="11">
        <f t="shared" si="662"/>
        <v>0</v>
      </c>
      <c r="U304" s="11">
        <f t="shared" si="662"/>
        <v>0</v>
      </c>
      <c r="V304" s="11">
        <f t="shared" si="662"/>
        <v>0</v>
      </c>
      <c r="W304" s="11">
        <f t="shared" si="662"/>
        <v>0</v>
      </c>
      <c r="X304" s="11">
        <f t="shared" si="662"/>
        <v>0</v>
      </c>
      <c r="Y304" s="11">
        <f t="shared" si="662"/>
        <v>0</v>
      </c>
      <c r="Z304" s="11">
        <f t="shared" si="662"/>
        <v>0</v>
      </c>
      <c r="AA304" s="11">
        <f t="shared" si="662"/>
        <v>0</v>
      </c>
      <c r="AB304" s="11">
        <f t="shared" si="662"/>
        <v>0</v>
      </c>
      <c r="AC304" s="11">
        <f t="shared" si="662"/>
        <v>0</v>
      </c>
      <c r="AD304" s="11">
        <f t="shared" si="662"/>
        <v>0</v>
      </c>
      <c r="AE304" s="11">
        <f t="shared" si="662"/>
        <v>0</v>
      </c>
      <c r="AF304" s="11">
        <f t="shared" si="662"/>
        <v>0</v>
      </c>
      <c r="AG304" s="11">
        <f t="shared" si="662"/>
        <v>0</v>
      </c>
      <c r="AH304" s="11">
        <f t="shared" si="662"/>
        <v>0</v>
      </c>
      <c r="AI304" s="11">
        <f t="shared" si="662"/>
        <v>0</v>
      </c>
      <c r="AJ304" s="11">
        <f t="shared" si="662"/>
        <v>0</v>
      </c>
      <c r="AK304" s="11">
        <f t="shared" si="662"/>
        <v>0</v>
      </c>
      <c r="AL304" s="11">
        <f t="shared" si="662"/>
        <v>0</v>
      </c>
      <c r="AM304" s="11">
        <f t="shared" ref="AM304:CX304" si="663">SUM(AM305)</f>
        <v>0</v>
      </c>
      <c r="AN304" s="11">
        <f t="shared" si="663"/>
        <v>0</v>
      </c>
      <c r="AO304" s="11">
        <f t="shared" si="663"/>
        <v>0</v>
      </c>
      <c r="AP304" s="11">
        <f t="shared" si="663"/>
        <v>0</v>
      </c>
      <c r="AQ304" s="11">
        <f t="shared" si="663"/>
        <v>0</v>
      </c>
      <c r="AR304" s="11">
        <f t="shared" si="663"/>
        <v>0</v>
      </c>
      <c r="AS304" s="11">
        <f t="shared" si="663"/>
        <v>0</v>
      </c>
      <c r="AT304" s="11">
        <f t="shared" si="663"/>
        <v>0</v>
      </c>
      <c r="AU304" s="11">
        <f t="shared" si="663"/>
        <v>0</v>
      </c>
      <c r="AV304" s="11">
        <f t="shared" si="663"/>
        <v>0</v>
      </c>
      <c r="AW304" s="11">
        <f t="shared" si="663"/>
        <v>0</v>
      </c>
      <c r="AX304" s="11">
        <f t="shared" si="663"/>
        <v>0</v>
      </c>
      <c r="AY304" s="11">
        <f t="shared" si="663"/>
        <v>0</v>
      </c>
      <c r="AZ304" s="11">
        <f t="shared" si="663"/>
        <v>0</v>
      </c>
      <c r="BA304" s="11">
        <f t="shared" si="663"/>
        <v>0</v>
      </c>
      <c r="BB304" s="11">
        <f t="shared" si="663"/>
        <v>0</v>
      </c>
      <c r="BC304" s="11">
        <f t="shared" si="663"/>
        <v>35669042</v>
      </c>
      <c r="BD304" s="11">
        <f t="shared" si="663"/>
        <v>0</v>
      </c>
      <c r="BE304" s="11">
        <f t="shared" si="663"/>
        <v>0</v>
      </c>
      <c r="BF304" s="11">
        <f t="shared" si="663"/>
        <v>0</v>
      </c>
      <c r="BG304" s="11">
        <f t="shared" si="663"/>
        <v>0</v>
      </c>
      <c r="BH304" s="11">
        <f t="shared" si="663"/>
        <v>0</v>
      </c>
      <c r="BI304" s="11">
        <f t="shared" si="663"/>
        <v>0</v>
      </c>
      <c r="BJ304" s="11">
        <f t="shared" si="663"/>
        <v>0</v>
      </c>
      <c r="BK304" s="11">
        <f t="shared" si="663"/>
        <v>0</v>
      </c>
      <c r="BL304" s="11">
        <f t="shared" si="663"/>
        <v>0</v>
      </c>
      <c r="BM304" s="11">
        <f t="shared" si="663"/>
        <v>0</v>
      </c>
      <c r="BN304" s="11">
        <f t="shared" si="663"/>
        <v>0</v>
      </c>
      <c r="BO304" s="11">
        <f t="shared" si="663"/>
        <v>0</v>
      </c>
      <c r="BP304" s="11">
        <f t="shared" si="663"/>
        <v>0</v>
      </c>
      <c r="BQ304" s="11">
        <f t="shared" si="663"/>
        <v>35669042</v>
      </c>
      <c r="BR304" s="11">
        <f t="shared" si="663"/>
        <v>0</v>
      </c>
      <c r="BS304" s="11">
        <f t="shared" si="663"/>
        <v>0</v>
      </c>
      <c r="BT304" s="11">
        <f t="shared" si="663"/>
        <v>0</v>
      </c>
      <c r="BU304" s="11">
        <f t="shared" si="663"/>
        <v>0</v>
      </c>
      <c r="BV304" s="11">
        <f t="shared" si="663"/>
        <v>0</v>
      </c>
      <c r="BW304" s="11">
        <f t="shared" si="663"/>
        <v>0</v>
      </c>
      <c r="BX304" s="11">
        <f t="shared" si="663"/>
        <v>0</v>
      </c>
      <c r="BY304" s="11">
        <f t="shared" si="663"/>
        <v>0</v>
      </c>
      <c r="BZ304" s="11">
        <f t="shared" si="663"/>
        <v>0</v>
      </c>
      <c r="CA304" s="11">
        <f t="shared" si="663"/>
        <v>0</v>
      </c>
      <c r="CB304" s="11">
        <f t="shared" si="663"/>
        <v>35669042</v>
      </c>
      <c r="CC304" s="11">
        <f t="shared" si="644"/>
        <v>0</v>
      </c>
      <c r="CD304" s="11">
        <f t="shared" si="663"/>
        <v>0</v>
      </c>
      <c r="CE304" s="11">
        <f t="shared" si="663"/>
        <v>0</v>
      </c>
      <c r="CF304" s="11">
        <f t="shared" si="663"/>
        <v>0</v>
      </c>
      <c r="CG304" s="11">
        <f t="shared" si="663"/>
        <v>0</v>
      </c>
      <c r="CH304" s="11">
        <f t="shared" si="663"/>
        <v>0</v>
      </c>
      <c r="CI304" s="11">
        <f t="shared" si="663"/>
        <v>0</v>
      </c>
      <c r="CJ304" s="11">
        <f t="shared" si="663"/>
        <v>0</v>
      </c>
      <c r="CK304" s="11">
        <f t="shared" si="663"/>
        <v>0</v>
      </c>
      <c r="CL304" s="11">
        <f t="shared" si="663"/>
        <v>0</v>
      </c>
      <c r="CM304" s="11">
        <f t="shared" si="663"/>
        <v>0</v>
      </c>
      <c r="CN304" s="11">
        <f t="shared" si="663"/>
        <v>0</v>
      </c>
      <c r="CO304" s="11">
        <f t="shared" si="663"/>
        <v>0</v>
      </c>
      <c r="CP304" s="11"/>
      <c r="CQ304" s="11">
        <f t="shared" si="663"/>
        <v>0</v>
      </c>
      <c r="CR304" s="11">
        <f t="shared" si="663"/>
        <v>0</v>
      </c>
      <c r="CS304" s="11">
        <f t="shared" si="663"/>
        <v>0</v>
      </c>
      <c r="CT304" s="11">
        <f t="shared" si="663"/>
        <v>0</v>
      </c>
      <c r="CU304" s="11">
        <f t="shared" si="663"/>
        <v>0</v>
      </c>
      <c r="CV304" s="11">
        <f t="shared" si="663"/>
        <v>0</v>
      </c>
      <c r="CW304" s="11">
        <f t="shared" si="663"/>
        <v>0</v>
      </c>
      <c r="CX304" s="12">
        <f t="shared" si="663"/>
        <v>0</v>
      </c>
    </row>
    <row r="305" spans="1:102" ht="31.5" x14ac:dyDescent="0.25">
      <c r="A305" s="13"/>
      <c r="B305" s="14" t="s">
        <v>1</v>
      </c>
      <c r="C305" s="14" t="s">
        <v>94</v>
      </c>
      <c r="D305" s="15" t="s">
        <v>427</v>
      </c>
      <c r="E305" s="10">
        <f>SUM(F305+CC305+CU305)</f>
        <v>35669042</v>
      </c>
      <c r="F305" s="11">
        <f>SUM(G305+BC305)</f>
        <v>35669042</v>
      </c>
      <c r="G305" s="11">
        <f>SUM(H305+I305+J305+Q305+T305+U305+V305+AF305+AE305)</f>
        <v>0</v>
      </c>
      <c r="H305" s="11">
        <v>0</v>
      </c>
      <c r="I305" s="11">
        <v>0</v>
      </c>
      <c r="J305" s="11">
        <f>SUM(K305:P305)</f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f t="shared" ref="Q305:Q315" si="664">SUM(R305:S305)</f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f t="shared" ref="V305" si="665">SUM(W305:AD305)</f>
        <v>0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f>SUM(AG305:BB305)</f>
        <v>0</v>
      </c>
      <c r="AG305" s="11">
        <v>0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1">
        <v>0</v>
      </c>
      <c r="AN305" s="11">
        <v>0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1">
        <v>0</v>
      </c>
      <c r="AU305" s="11">
        <v>0</v>
      </c>
      <c r="AV305" s="11">
        <v>0</v>
      </c>
      <c r="AW305" s="11">
        <v>0</v>
      </c>
      <c r="AX305" s="11">
        <v>0</v>
      </c>
      <c r="AY305" s="11">
        <v>0</v>
      </c>
      <c r="AZ305" s="11">
        <v>0</v>
      </c>
      <c r="BA305" s="11">
        <v>0</v>
      </c>
      <c r="BB305" s="11">
        <v>0</v>
      </c>
      <c r="BC305" s="11">
        <f>SUM(BD305+BH305+BL305+BN305+BQ305)</f>
        <v>35669042</v>
      </c>
      <c r="BD305" s="11">
        <f>SUM(BE305:BG305)</f>
        <v>0</v>
      </c>
      <c r="BE305" s="11">
        <v>0</v>
      </c>
      <c r="BF305" s="11">
        <v>0</v>
      </c>
      <c r="BG305" s="11">
        <v>0</v>
      </c>
      <c r="BH305" s="11">
        <f t="shared" ref="BH305:BH315" si="666">SUM(BJ305:BK305)</f>
        <v>0</v>
      </c>
      <c r="BI305" s="11">
        <v>0</v>
      </c>
      <c r="BJ305" s="11">
        <v>0</v>
      </c>
      <c r="BK305" s="11">
        <v>0</v>
      </c>
      <c r="BL305" s="11">
        <v>0</v>
      </c>
      <c r="BM305" s="11">
        <v>0</v>
      </c>
      <c r="BN305" s="11">
        <f t="shared" ref="BN305:BN315" si="667">SUM(BO305)</f>
        <v>0</v>
      </c>
      <c r="BO305" s="11">
        <v>0</v>
      </c>
      <c r="BP305" s="11">
        <v>0</v>
      </c>
      <c r="BQ305" s="11">
        <f t="shared" ref="BQ305:BQ315" si="668">SUM(BR305:CB305)</f>
        <v>35669042</v>
      </c>
      <c r="BR305" s="11">
        <v>0</v>
      </c>
      <c r="BS305" s="11">
        <v>0</v>
      </c>
      <c r="BT305" s="11">
        <v>0</v>
      </c>
      <c r="BU305" s="11">
        <v>0</v>
      </c>
      <c r="BV305" s="11">
        <v>0</v>
      </c>
      <c r="BW305" s="11">
        <v>0</v>
      </c>
      <c r="BX305" s="11">
        <v>0</v>
      </c>
      <c r="BY305" s="11">
        <v>0</v>
      </c>
      <c r="BZ305" s="11">
        <v>0</v>
      </c>
      <c r="CA305" s="11">
        <v>0</v>
      </c>
      <c r="CB305" s="11">
        <f>21000000+14669042</f>
        <v>35669042</v>
      </c>
      <c r="CC305" s="11">
        <f t="shared" si="644"/>
        <v>0</v>
      </c>
      <c r="CD305" s="11">
        <f>SUM(CE305+CH305+CM305)</f>
        <v>0</v>
      </c>
      <c r="CE305" s="11">
        <f t="shared" ref="CE305:CE315" si="669">SUM(CF305:CG305)</f>
        <v>0</v>
      </c>
      <c r="CF305" s="11">
        <v>0</v>
      </c>
      <c r="CG305" s="11">
        <v>0</v>
      </c>
      <c r="CH305" s="11">
        <f>SUM(CI305:CL305)</f>
        <v>0</v>
      </c>
      <c r="CI305" s="11">
        <v>0</v>
      </c>
      <c r="CJ305" s="11">
        <v>0</v>
      </c>
      <c r="CK305" s="11">
        <v>0</v>
      </c>
      <c r="CL305" s="11">
        <v>0</v>
      </c>
      <c r="CM305" s="11">
        <f>SUM(CN305:CQ305)</f>
        <v>0</v>
      </c>
      <c r="CN305" s="11">
        <v>0</v>
      </c>
      <c r="CO305" s="11">
        <v>0</v>
      </c>
      <c r="CP305" s="11"/>
      <c r="CQ305" s="11">
        <v>0</v>
      </c>
      <c r="CR305" s="11">
        <v>0</v>
      </c>
      <c r="CS305" s="11">
        <v>0</v>
      </c>
      <c r="CT305" s="11">
        <v>0</v>
      </c>
      <c r="CU305" s="11">
        <f t="shared" ref="CU305:CU315" si="670">SUM(CV305)</f>
        <v>0</v>
      </c>
      <c r="CV305" s="11">
        <f t="shared" ref="CV305:CV315" si="671">SUM(CW305:CX305)</f>
        <v>0</v>
      </c>
      <c r="CW305" s="11">
        <v>0</v>
      </c>
      <c r="CX305" s="12">
        <v>0</v>
      </c>
    </row>
    <row r="306" spans="1:102" ht="15.75" x14ac:dyDescent="0.25">
      <c r="A306" s="7"/>
      <c r="B306" s="8" t="s">
        <v>428</v>
      </c>
      <c r="C306" s="8" t="s">
        <v>1</v>
      </c>
      <c r="D306" s="9" t="s">
        <v>429</v>
      </c>
      <c r="E306" s="10">
        <f t="shared" ref="E306:AL306" si="672">SUM(E307)</f>
        <v>316403180</v>
      </c>
      <c r="F306" s="11">
        <f t="shared" si="672"/>
        <v>15533491</v>
      </c>
      <c r="G306" s="11">
        <f t="shared" si="672"/>
        <v>14223091</v>
      </c>
      <c r="H306" s="11">
        <f t="shared" si="672"/>
        <v>0</v>
      </c>
      <c r="I306" s="11">
        <f t="shared" si="672"/>
        <v>0</v>
      </c>
      <c r="J306" s="11">
        <f t="shared" si="672"/>
        <v>2842864</v>
      </c>
      <c r="K306" s="11">
        <f t="shared" si="672"/>
        <v>0</v>
      </c>
      <c r="L306" s="11">
        <f t="shared" si="672"/>
        <v>0</v>
      </c>
      <c r="M306" s="11">
        <f t="shared" si="672"/>
        <v>0</v>
      </c>
      <c r="N306" s="11">
        <f t="shared" si="672"/>
        <v>0</v>
      </c>
      <c r="O306" s="11">
        <f t="shared" si="672"/>
        <v>577992</v>
      </c>
      <c r="P306" s="11">
        <f t="shared" si="672"/>
        <v>2264872</v>
      </c>
      <c r="Q306" s="11">
        <f t="shared" si="672"/>
        <v>0</v>
      </c>
      <c r="R306" s="11">
        <f t="shared" si="672"/>
        <v>0</v>
      </c>
      <c r="S306" s="11">
        <f t="shared" si="672"/>
        <v>0</v>
      </c>
      <c r="T306" s="11">
        <f t="shared" si="672"/>
        <v>0</v>
      </c>
      <c r="U306" s="11">
        <f t="shared" si="672"/>
        <v>0</v>
      </c>
      <c r="V306" s="11">
        <f t="shared" si="672"/>
        <v>0</v>
      </c>
      <c r="W306" s="11">
        <f t="shared" si="672"/>
        <v>0</v>
      </c>
      <c r="X306" s="11">
        <f t="shared" si="672"/>
        <v>0</v>
      </c>
      <c r="Y306" s="11">
        <f t="shared" si="672"/>
        <v>0</v>
      </c>
      <c r="Z306" s="11">
        <f t="shared" si="672"/>
        <v>0</v>
      </c>
      <c r="AA306" s="11">
        <f t="shared" si="672"/>
        <v>0</v>
      </c>
      <c r="AB306" s="11">
        <f t="shared" si="672"/>
        <v>0</v>
      </c>
      <c r="AC306" s="11">
        <f t="shared" si="672"/>
        <v>0</v>
      </c>
      <c r="AD306" s="11">
        <f t="shared" si="672"/>
        <v>0</v>
      </c>
      <c r="AE306" s="11">
        <f t="shared" si="672"/>
        <v>0</v>
      </c>
      <c r="AF306" s="11">
        <f t="shared" si="672"/>
        <v>11380227</v>
      </c>
      <c r="AG306" s="11">
        <f t="shared" si="672"/>
        <v>0</v>
      </c>
      <c r="AH306" s="11">
        <f t="shared" si="672"/>
        <v>0</v>
      </c>
      <c r="AI306" s="11">
        <f t="shared" si="672"/>
        <v>2890585</v>
      </c>
      <c r="AJ306" s="11">
        <f t="shared" si="672"/>
        <v>0</v>
      </c>
      <c r="AK306" s="11">
        <f t="shared" si="672"/>
        <v>0</v>
      </c>
      <c r="AL306" s="11">
        <f t="shared" si="672"/>
        <v>0</v>
      </c>
      <c r="AM306" s="11">
        <f t="shared" ref="AM306:CX306" si="673">SUM(AM307)</f>
        <v>0</v>
      </c>
      <c r="AN306" s="11">
        <f t="shared" si="673"/>
        <v>0</v>
      </c>
      <c r="AO306" s="11">
        <f t="shared" si="673"/>
        <v>0</v>
      </c>
      <c r="AP306" s="11">
        <f t="shared" si="673"/>
        <v>0</v>
      </c>
      <c r="AQ306" s="11">
        <f t="shared" si="673"/>
        <v>0</v>
      </c>
      <c r="AR306" s="11">
        <f t="shared" si="673"/>
        <v>0</v>
      </c>
      <c r="AS306" s="11">
        <f t="shared" si="673"/>
        <v>0</v>
      </c>
      <c r="AT306" s="11">
        <f t="shared" si="673"/>
        <v>0</v>
      </c>
      <c r="AU306" s="11">
        <f t="shared" si="673"/>
        <v>0</v>
      </c>
      <c r="AV306" s="11">
        <f t="shared" si="673"/>
        <v>0</v>
      </c>
      <c r="AW306" s="11">
        <f t="shared" si="673"/>
        <v>0</v>
      </c>
      <c r="AX306" s="11">
        <f t="shared" si="673"/>
        <v>8275002</v>
      </c>
      <c r="AY306" s="11">
        <f t="shared" si="673"/>
        <v>0</v>
      </c>
      <c r="AZ306" s="11">
        <f t="shared" si="673"/>
        <v>0</v>
      </c>
      <c r="BA306" s="11">
        <f t="shared" si="673"/>
        <v>0</v>
      </c>
      <c r="BB306" s="11">
        <f t="shared" si="673"/>
        <v>214640</v>
      </c>
      <c r="BC306" s="11">
        <f t="shared" si="673"/>
        <v>1310400</v>
      </c>
      <c r="BD306" s="11">
        <f t="shared" si="673"/>
        <v>0</v>
      </c>
      <c r="BE306" s="11">
        <f t="shared" si="673"/>
        <v>0</v>
      </c>
      <c r="BF306" s="11">
        <f t="shared" si="673"/>
        <v>0</v>
      </c>
      <c r="BG306" s="11">
        <f t="shared" si="673"/>
        <v>0</v>
      </c>
      <c r="BH306" s="11">
        <f t="shared" si="673"/>
        <v>0</v>
      </c>
      <c r="BI306" s="11">
        <f t="shared" si="673"/>
        <v>0</v>
      </c>
      <c r="BJ306" s="11">
        <f t="shared" si="673"/>
        <v>0</v>
      </c>
      <c r="BK306" s="11">
        <f t="shared" si="673"/>
        <v>0</v>
      </c>
      <c r="BL306" s="11">
        <f t="shared" si="673"/>
        <v>0</v>
      </c>
      <c r="BM306" s="11">
        <f t="shared" si="673"/>
        <v>0</v>
      </c>
      <c r="BN306" s="11">
        <f t="shared" si="673"/>
        <v>0</v>
      </c>
      <c r="BO306" s="11">
        <f t="shared" si="673"/>
        <v>0</v>
      </c>
      <c r="BP306" s="11">
        <f t="shared" si="673"/>
        <v>0</v>
      </c>
      <c r="BQ306" s="11">
        <f t="shared" si="673"/>
        <v>1310400</v>
      </c>
      <c r="BR306" s="11">
        <f t="shared" si="673"/>
        <v>0</v>
      </c>
      <c r="BS306" s="11">
        <f t="shared" si="673"/>
        <v>0</v>
      </c>
      <c r="BT306" s="11">
        <f t="shared" si="673"/>
        <v>0</v>
      </c>
      <c r="BU306" s="11">
        <f t="shared" si="673"/>
        <v>0</v>
      </c>
      <c r="BV306" s="11">
        <f t="shared" si="673"/>
        <v>0</v>
      </c>
      <c r="BW306" s="11">
        <f t="shared" si="673"/>
        <v>0</v>
      </c>
      <c r="BX306" s="11">
        <f t="shared" si="673"/>
        <v>0</v>
      </c>
      <c r="BY306" s="11">
        <f t="shared" si="673"/>
        <v>1310400</v>
      </c>
      <c r="BZ306" s="11">
        <f t="shared" si="673"/>
        <v>0</v>
      </c>
      <c r="CA306" s="11">
        <f t="shared" si="673"/>
        <v>0</v>
      </c>
      <c r="CB306" s="11">
        <f t="shared" si="673"/>
        <v>0</v>
      </c>
      <c r="CC306" s="11">
        <f t="shared" si="644"/>
        <v>300869689</v>
      </c>
      <c r="CD306" s="11">
        <f t="shared" si="673"/>
        <v>288377834</v>
      </c>
      <c r="CE306" s="11">
        <f t="shared" si="673"/>
        <v>38682100</v>
      </c>
      <c r="CF306" s="11">
        <f t="shared" si="673"/>
        <v>0</v>
      </c>
      <c r="CG306" s="11">
        <f t="shared" si="673"/>
        <v>38682100</v>
      </c>
      <c r="CH306" s="11">
        <f t="shared" si="673"/>
        <v>123930036</v>
      </c>
      <c r="CI306" s="11">
        <f t="shared" si="673"/>
        <v>0</v>
      </c>
      <c r="CJ306" s="11">
        <f t="shared" si="673"/>
        <v>115470297</v>
      </c>
      <c r="CK306" s="11">
        <f t="shared" si="673"/>
        <v>7200000</v>
      </c>
      <c r="CL306" s="11">
        <f t="shared" si="673"/>
        <v>1259739</v>
      </c>
      <c r="CM306" s="11">
        <f t="shared" si="673"/>
        <v>125765698</v>
      </c>
      <c r="CN306" s="11">
        <f t="shared" si="673"/>
        <v>117951161</v>
      </c>
      <c r="CO306" s="11">
        <f t="shared" si="673"/>
        <v>5814537</v>
      </c>
      <c r="CP306" s="11"/>
      <c r="CQ306" s="11">
        <f t="shared" si="673"/>
        <v>2000000</v>
      </c>
      <c r="CR306" s="11">
        <f t="shared" si="673"/>
        <v>0</v>
      </c>
      <c r="CS306" s="11">
        <f t="shared" si="673"/>
        <v>0</v>
      </c>
      <c r="CT306" s="11">
        <f t="shared" si="673"/>
        <v>12491855</v>
      </c>
      <c r="CU306" s="11">
        <f t="shared" si="673"/>
        <v>0</v>
      </c>
      <c r="CV306" s="11">
        <f t="shared" si="673"/>
        <v>0</v>
      </c>
      <c r="CW306" s="11">
        <f t="shared" si="673"/>
        <v>0</v>
      </c>
      <c r="CX306" s="12">
        <f t="shared" si="673"/>
        <v>0</v>
      </c>
    </row>
    <row r="307" spans="1:102" ht="15.75" x14ac:dyDescent="0.25">
      <c r="A307" s="13"/>
      <c r="B307" s="14" t="s">
        <v>1</v>
      </c>
      <c r="C307" s="14" t="s">
        <v>430</v>
      </c>
      <c r="D307" s="15" t="s">
        <v>429</v>
      </c>
      <c r="E307" s="10">
        <f>SUM(F307+CC307+CU307)</f>
        <v>316403180</v>
      </c>
      <c r="F307" s="11">
        <f>SUM(G307+BC307)</f>
        <v>15533491</v>
      </c>
      <c r="G307" s="11">
        <f>SUM(H307+I307+J307+Q307+T307+U307+V307+AF307+AE307)</f>
        <v>14223091</v>
      </c>
      <c r="H307" s="11">
        <v>0</v>
      </c>
      <c r="I307" s="11">
        <v>0</v>
      </c>
      <c r="J307" s="11">
        <f>SUM(K307:P307)</f>
        <v>2842864</v>
      </c>
      <c r="K307" s="11">
        <f>3111047-3111047</f>
        <v>0</v>
      </c>
      <c r="L307" s="11"/>
      <c r="M307" s="11">
        <v>0</v>
      </c>
      <c r="N307" s="11">
        <v>0</v>
      </c>
      <c r="O307" s="11">
        <f>0+114832+463160</f>
        <v>577992</v>
      </c>
      <c r="P307" s="11">
        <f>4429953+275048-2862094+24703+397262</f>
        <v>2264872</v>
      </c>
      <c r="Q307" s="11">
        <f t="shared" si="664"/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f t="shared" ref="V307" si="674">SUM(W307:AD307)</f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f>SUM(AG307:BB307)</f>
        <v>11380227</v>
      </c>
      <c r="AG307" s="11">
        <v>0</v>
      </c>
      <c r="AH307" s="11">
        <v>0</v>
      </c>
      <c r="AI307" s="11">
        <f>0+1250000+1640585</f>
        <v>2890585</v>
      </c>
      <c r="AJ307" s="11">
        <v>0</v>
      </c>
      <c r="AK307" s="11">
        <v>0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  <c r="AU307" s="11">
        <v>0</v>
      </c>
      <c r="AV307" s="11">
        <v>0</v>
      </c>
      <c r="AW307" s="11">
        <v>0</v>
      </c>
      <c r="AX307" s="11">
        <f>8026471+202138-14640+61033</f>
        <v>8275002</v>
      </c>
      <c r="AY307" s="11">
        <v>0</v>
      </c>
      <c r="AZ307" s="11">
        <v>0</v>
      </c>
      <c r="BA307" s="11">
        <v>0</v>
      </c>
      <c r="BB307" s="11">
        <f>200000+14640</f>
        <v>214640</v>
      </c>
      <c r="BC307" s="11">
        <f>SUM(BD307+BH307+BL307+BN307+BQ307)</f>
        <v>1310400</v>
      </c>
      <c r="BD307" s="11">
        <f>SUM(BE307:BG307)</f>
        <v>0</v>
      </c>
      <c r="BE307" s="11">
        <v>0</v>
      </c>
      <c r="BF307" s="11">
        <v>0</v>
      </c>
      <c r="BG307" s="11">
        <v>0</v>
      </c>
      <c r="BH307" s="11">
        <f t="shared" si="666"/>
        <v>0</v>
      </c>
      <c r="BI307" s="11">
        <v>0</v>
      </c>
      <c r="BJ307" s="11">
        <v>0</v>
      </c>
      <c r="BK307" s="11">
        <v>0</v>
      </c>
      <c r="BL307" s="11">
        <v>0</v>
      </c>
      <c r="BM307" s="11">
        <v>0</v>
      </c>
      <c r="BN307" s="11">
        <f t="shared" si="667"/>
        <v>0</v>
      </c>
      <c r="BO307" s="11">
        <v>0</v>
      </c>
      <c r="BP307" s="11">
        <v>0</v>
      </c>
      <c r="BQ307" s="11">
        <f t="shared" si="668"/>
        <v>1310400</v>
      </c>
      <c r="BR307" s="11">
        <v>0</v>
      </c>
      <c r="BS307" s="11">
        <v>0</v>
      </c>
      <c r="BT307" s="11">
        <v>0</v>
      </c>
      <c r="BU307" s="11">
        <v>0</v>
      </c>
      <c r="BV307" s="11">
        <v>0</v>
      </c>
      <c r="BW307" s="11">
        <v>0</v>
      </c>
      <c r="BX307" s="11">
        <v>0</v>
      </c>
      <c r="BY307" s="11">
        <v>1310400</v>
      </c>
      <c r="BZ307" s="11">
        <v>0</v>
      </c>
      <c r="CA307" s="11">
        <v>0</v>
      </c>
      <c r="CB307" s="11">
        <v>0</v>
      </c>
      <c r="CC307" s="11">
        <f t="shared" si="644"/>
        <v>300869689</v>
      </c>
      <c r="CD307" s="11">
        <f>SUM(CE307+CH307+CM307)</f>
        <v>288377834</v>
      </c>
      <c r="CE307" s="11">
        <f t="shared" si="669"/>
        <v>38682100</v>
      </c>
      <c r="CF307" s="11"/>
      <c r="CG307" s="27">
        <f>41491912+3206923+422516-6753058+1485073+150550+2341291-3663107</f>
        <v>38682100</v>
      </c>
      <c r="CH307" s="11">
        <f>SUM(CI307:CL307)</f>
        <v>123930036</v>
      </c>
      <c r="CI307" s="11">
        <v>0</v>
      </c>
      <c r="CJ307" s="16">
        <f>61529214-814026+8552299+16522874-1700000-380000+5104230-9209236+4853153+30474238+537551</f>
        <v>115470297</v>
      </c>
      <c r="CK307" s="16">
        <f>7200000</f>
        <v>7200000</v>
      </c>
      <c r="CL307" s="16">
        <f>0+532589+727150</f>
        <v>1259739</v>
      </c>
      <c r="CM307" s="11">
        <f>SUM(CN307:CQ307)</f>
        <v>125765698</v>
      </c>
      <c r="CN307" s="16">
        <f>81643485+814026-8178875+1700000-5104230-2960877+16092161+32857762+1087709</f>
        <v>117951161</v>
      </c>
      <c r="CO307" s="11">
        <f>4269372-724854+724854+1545165</f>
        <v>5814537</v>
      </c>
      <c r="CP307" s="11"/>
      <c r="CQ307" s="11">
        <v>2000000</v>
      </c>
      <c r="CR307" s="11">
        <v>0</v>
      </c>
      <c r="CS307" s="11">
        <v>0</v>
      </c>
      <c r="CT307" s="11">
        <f>12055000+436855</f>
        <v>12491855</v>
      </c>
      <c r="CU307" s="11">
        <f t="shared" si="670"/>
        <v>0</v>
      </c>
      <c r="CV307" s="11">
        <f t="shared" si="671"/>
        <v>0</v>
      </c>
      <c r="CW307" s="11">
        <v>0</v>
      </c>
      <c r="CX307" s="12">
        <v>0</v>
      </c>
    </row>
    <row r="308" spans="1:102" ht="15.75" x14ac:dyDescent="0.25">
      <c r="A308" s="7"/>
      <c r="B308" s="8" t="s">
        <v>431</v>
      </c>
      <c r="C308" s="8" t="s">
        <v>1</v>
      </c>
      <c r="D308" s="9" t="s">
        <v>432</v>
      </c>
      <c r="E308" s="10">
        <f t="shared" ref="E308:BT308" si="675">SUM(E309)</f>
        <v>12529642</v>
      </c>
      <c r="F308" s="11">
        <f t="shared" si="675"/>
        <v>12529642</v>
      </c>
      <c r="G308" s="11">
        <f t="shared" si="675"/>
        <v>12529642</v>
      </c>
      <c r="H308" s="11">
        <f t="shared" si="675"/>
        <v>0</v>
      </c>
      <c r="I308" s="11">
        <f t="shared" si="675"/>
        <v>0</v>
      </c>
      <c r="J308" s="11">
        <f t="shared" si="675"/>
        <v>0</v>
      </c>
      <c r="K308" s="11">
        <f t="shared" si="675"/>
        <v>0</v>
      </c>
      <c r="L308" s="11">
        <f t="shared" si="675"/>
        <v>0</v>
      </c>
      <c r="M308" s="11">
        <f t="shared" si="675"/>
        <v>0</v>
      </c>
      <c r="N308" s="11">
        <f t="shared" si="675"/>
        <v>0</v>
      </c>
      <c r="O308" s="11">
        <f t="shared" si="675"/>
        <v>0</v>
      </c>
      <c r="P308" s="11">
        <f t="shared" si="675"/>
        <v>0</v>
      </c>
      <c r="Q308" s="11">
        <f t="shared" si="675"/>
        <v>0</v>
      </c>
      <c r="R308" s="11">
        <f t="shared" si="675"/>
        <v>0</v>
      </c>
      <c r="S308" s="11">
        <f t="shared" si="675"/>
        <v>0</v>
      </c>
      <c r="T308" s="11">
        <f t="shared" si="675"/>
        <v>0</v>
      </c>
      <c r="U308" s="11">
        <f t="shared" si="675"/>
        <v>0</v>
      </c>
      <c r="V308" s="11">
        <f t="shared" si="675"/>
        <v>0</v>
      </c>
      <c r="W308" s="11">
        <f t="shared" si="675"/>
        <v>0</v>
      </c>
      <c r="X308" s="11">
        <f t="shared" si="675"/>
        <v>0</v>
      </c>
      <c r="Y308" s="11">
        <f t="shared" si="675"/>
        <v>0</v>
      </c>
      <c r="Z308" s="11">
        <f t="shared" si="675"/>
        <v>0</v>
      </c>
      <c r="AA308" s="11">
        <f t="shared" si="675"/>
        <v>0</v>
      </c>
      <c r="AB308" s="11">
        <f t="shared" si="675"/>
        <v>0</v>
      </c>
      <c r="AC308" s="11">
        <f t="shared" si="675"/>
        <v>0</v>
      </c>
      <c r="AD308" s="11">
        <f t="shared" si="675"/>
        <v>0</v>
      </c>
      <c r="AE308" s="11">
        <f t="shared" si="675"/>
        <v>0</v>
      </c>
      <c r="AF308" s="11">
        <f t="shared" si="675"/>
        <v>12529642</v>
      </c>
      <c r="AG308" s="11">
        <f t="shared" si="675"/>
        <v>0</v>
      </c>
      <c r="AH308" s="11">
        <f t="shared" si="675"/>
        <v>0</v>
      </c>
      <c r="AI308" s="11">
        <f t="shared" si="675"/>
        <v>0</v>
      </c>
      <c r="AJ308" s="11">
        <f t="shared" si="675"/>
        <v>0</v>
      </c>
      <c r="AK308" s="11">
        <f t="shared" si="675"/>
        <v>0</v>
      </c>
      <c r="AL308" s="11">
        <f t="shared" si="675"/>
        <v>0</v>
      </c>
      <c r="AM308" s="11">
        <f t="shared" si="675"/>
        <v>0</v>
      </c>
      <c r="AN308" s="11">
        <f t="shared" si="675"/>
        <v>0</v>
      </c>
      <c r="AO308" s="11">
        <f t="shared" si="675"/>
        <v>0</v>
      </c>
      <c r="AP308" s="11">
        <f t="shared" si="675"/>
        <v>0</v>
      </c>
      <c r="AQ308" s="11">
        <f t="shared" si="675"/>
        <v>0</v>
      </c>
      <c r="AR308" s="11">
        <f t="shared" si="675"/>
        <v>0</v>
      </c>
      <c r="AS308" s="11">
        <f t="shared" si="675"/>
        <v>0</v>
      </c>
      <c r="AT308" s="11">
        <f t="shared" si="675"/>
        <v>0</v>
      </c>
      <c r="AU308" s="11">
        <f t="shared" si="675"/>
        <v>0</v>
      </c>
      <c r="AV308" s="11">
        <f t="shared" si="675"/>
        <v>0</v>
      </c>
      <c r="AW308" s="11">
        <f t="shared" si="675"/>
        <v>0</v>
      </c>
      <c r="AX308" s="11">
        <f t="shared" si="675"/>
        <v>0</v>
      </c>
      <c r="AY308" s="11">
        <f t="shared" si="675"/>
        <v>0</v>
      </c>
      <c r="AZ308" s="11">
        <f t="shared" si="675"/>
        <v>0</v>
      </c>
      <c r="BA308" s="11">
        <f t="shared" si="675"/>
        <v>0</v>
      </c>
      <c r="BB308" s="11">
        <f t="shared" si="675"/>
        <v>12529642</v>
      </c>
      <c r="BC308" s="11">
        <f t="shared" si="675"/>
        <v>0</v>
      </c>
      <c r="BD308" s="11">
        <f t="shared" si="675"/>
        <v>0</v>
      </c>
      <c r="BE308" s="11">
        <f t="shared" si="675"/>
        <v>0</v>
      </c>
      <c r="BF308" s="11">
        <f t="shared" si="675"/>
        <v>0</v>
      </c>
      <c r="BG308" s="11">
        <f t="shared" si="675"/>
        <v>0</v>
      </c>
      <c r="BH308" s="11">
        <f t="shared" si="675"/>
        <v>0</v>
      </c>
      <c r="BI308" s="11">
        <f t="shared" si="675"/>
        <v>0</v>
      </c>
      <c r="BJ308" s="11">
        <f t="shared" si="675"/>
        <v>0</v>
      </c>
      <c r="BK308" s="11">
        <f t="shared" si="675"/>
        <v>0</v>
      </c>
      <c r="BL308" s="11">
        <f t="shared" si="675"/>
        <v>0</v>
      </c>
      <c r="BM308" s="11">
        <f t="shared" si="675"/>
        <v>0</v>
      </c>
      <c r="BN308" s="11">
        <f t="shared" si="675"/>
        <v>0</v>
      </c>
      <c r="BO308" s="11">
        <f t="shared" si="675"/>
        <v>0</v>
      </c>
      <c r="BP308" s="11">
        <f t="shared" si="675"/>
        <v>0</v>
      </c>
      <c r="BQ308" s="11">
        <f t="shared" si="675"/>
        <v>0</v>
      </c>
      <c r="BR308" s="11">
        <f t="shared" si="675"/>
        <v>0</v>
      </c>
      <c r="BS308" s="11">
        <f t="shared" si="675"/>
        <v>0</v>
      </c>
      <c r="BT308" s="11">
        <f t="shared" si="675"/>
        <v>0</v>
      </c>
      <c r="BU308" s="11">
        <f t="shared" ref="BU308:CX308" si="676">SUM(BU309)</f>
        <v>0</v>
      </c>
      <c r="BV308" s="11">
        <f t="shared" si="676"/>
        <v>0</v>
      </c>
      <c r="BW308" s="11">
        <f t="shared" si="676"/>
        <v>0</v>
      </c>
      <c r="BX308" s="11">
        <f t="shared" si="676"/>
        <v>0</v>
      </c>
      <c r="BY308" s="11">
        <f t="shared" si="676"/>
        <v>0</v>
      </c>
      <c r="BZ308" s="11">
        <f t="shared" si="676"/>
        <v>0</v>
      </c>
      <c r="CA308" s="11">
        <f t="shared" si="676"/>
        <v>0</v>
      </c>
      <c r="CB308" s="11">
        <f t="shared" si="676"/>
        <v>0</v>
      </c>
      <c r="CC308" s="11">
        <f t="shared" si="644"/>
        <v>0</v>
      </c>
      <c r="CD308" s="11">
        <f t="shared" si="676"/>
        <v>0</v>
      </c>
      <c r="CE308" s="11">
        <f t="shared" si="676"/>
        <v>0</v>
      </c>
      <c r="CF308" s="11">
        <f t="shared" si="676"/>
        <v>0</v>
      </c>
      <c r="CG308" s="11">
        <f t="shared" si="676"/>
        <v>0</v>
      </c>
      <c r="CH308" s="11">
        <f t="shared" si="676"/>
        <v>0</v>
      </c>
      <c r="CI308" s="11">
        <f t="shared" si="676"/>
        <v>0</v>
      </c>
      <c r="CJ308" s="11">
        <f t="shared" si="676"/>
        <v>0</v>
      </c>
      <c r="CK308" s="11">
        <f t="shared" si="676"/>
        <v>0</v>
      </c>
      <c r="CL308" s="11">
        <f t="shared" si="676"/>
        <v>0</v>
      </c>
      <c r="CM308" s="11">
        <f t="shared" si="676"/>
        <v>0</v>
      </c>
      <c r="CN308" s="11">
        <f t="shared" si="676"/>
        <v>0</v>
      </c>
      <c r="CO308" s="11">
        <f t="shared" si="676"/>
        <v>0</v>
      </c>
      <c r="CP308" s="11"/>
      <c r="CQ308" s="11">
        <f t="shared" si="676"/>
        <v>0</v>
      </c>
      <c r="CR308" s="11">
        <f t="shared" si="676"/>
        <v>0</v>
      </c>
      <c r="CS308" s="11">
        <f t="shared" si="676"/>
        <v>0</v>
      </c>
      <c r="CT308" s="11">
        <f t="shared" si="676"/>
        <v>0</v>
      </c>
      <c r="CU308" s="11">
        <f t="shared" si="676"/>
        <v>0</v>
      </c>
      <c r="CV308" s="11">
        <f t="shared" si="676"/>
        <v>0</v>
      </c>
      <c r="CW308" s="11">
        <f t="shared" si="676"/>
        <v>0</v>
      </c>
      <c r="CX308" s="12">
        <f t="shared" si="676"/>
        <v>0</v>
      </c>
    </row>
    <row r="309" spans="1:102" ht="15.75" x14ac:dyDescent="0.25">
      <c r="A309" s="13"/>
      <c r="B309" s="14" t="s">
        <v>1</v>
      </c>
      <c r="C309" s="14" t="s">
        <v>345</v>
      </c>
      <c r="D309" s="15" t="s">
        <v>432</v>
      </c>
      <c r="E309" s="10">
        <f>SUM(F309+CC309+CU309)</f>
        <v>12529642</v>
      </c>
      <c r="F309" s="11">
        <f>SUM(G309+BC309)</f>
        <v>12529642</v>
      </c>
      <c r="G309" s="11">
        <f>SUM(H309+I309+J309+Q309+T309+U309+V309+AF309+AE309)</f>
        <v>12529642</v>
      </c>
      <c r="H309" s="11">
        <v>0</v>
      </c>
      <c r="I309" s="11">
        <v>0</v>
      </c>
      <c r="J309" s="11">
        <f>SUM(K309:P309)</f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f t="shared" si="664"/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f t="shared" ref="V309" si="677">SUM(W309:AD309)</f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f>SUM(AG309:BB309)</f>
        <v>12529642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1">
        <v>0</v>
      </c>
      <c r="AU309" s="11">
        <v>0</v>
      </c>
      <c r="AV309" s="11">
        <v>0</v>
      </c>
      <c r="AW309" s="11">
        <v>0</v>
      </c>
      <c r="AX309" s="11">
        <v>0</v>
      </c>
      <c r="AY309" s="11">
        <v>0</v>
      </c>
      <c r="AZ309" s="11">
        <v>0</v>
      </c>
      <c r="BA309" s="11">
        <v>0</v>
      </c>
      <c r="BB309" s="11">
        <f>5026949+5250382+2252311</f>
        <v>12529642</v>
      </c>
      <c r="BC309" s="11">
        <f>SUM(BD309+BH309+BL309+BN309+BQ309)</f>
        <v>0</v>
      </c>
      <c r="BD309" s="11">
        <f>SUM(BE309:BG309)</f>
        <v>0</v>
      </c>
      <c r="BE309" s="11">
        <v>0</v>
      </c>
      <c r="BF309" s="11">
        <v>0</v>
      </c>
      <c r="BG309" s="11">
        <v>0</v>
      </c>
      <c r="BH309" s="11">
        <f t="shared" si="666"/>
        <v>0</v>
      </c>
      <c r="BI309" s="11">
        <v>0</v>
      </c>
      <c r="BJ309" s="11">
        <v>0</v>
      </c>
      <c r="BK309" s="11">
        <v>0</v>
      </c>
      <c r="BL309" s="11">
        <v>0</v>
      </c>
      <c r="BM309" s="11">
        <v>0</v>
      </c>
      <c r="BN309" s="11">
        <f t="shared" si="667"/>
        <v>0</v>
      </c>
      <c r="BO309" s="11">
        <v>0</v>
      </c>
      <c r="BP309" s="11">
        <v>0</v>
      </c>
      <c r="BQ309" s="11">
        <f t="shared" si="668"/>
        <v>0</v>
      </c>
      <c r="BR309" s="11">
        <v>0</v>
      </c>
      <c r="BS309" s="11">
        <v>0</v>
      </c>
      <c r="BT309" s="11">
        <v>0</v>
      </c>
      <c r="BU309" s="11">
        <v>0</v>
      </c>
      <c r="BV309" s="11">
        <v>0</v>
      </c>
      <c r="BW309" s="11">
        <v>0</v>
      </c>
      <c r="BX309" s="11">
        <v>0</v>
      </c>
      <c r="BY309" s="11">
        <v>0</v>
      </c>
      <c r="BZ309" s="11">
        <v>0</v>
      </c>
      <c r="CA309" s="11">
        <v>0</v>
      </c>
      <c r="CB309" s="11">
        <v>0</v>
      </c>
      <c r="CC309" s="11">
        <f t="shared" si="644"/>
        <v>0</v>
      </c>
      <c r="CD309" s="11">
        <f>SUM(CE309+CH309+CM309)</f>
        <v>0</v>
      </c>
      <c r="CE309" s="11">
        <f t="shared" si="669"/>
        <v>0</v>
      </c>
      <c r="CF309" s="11">
        <v>0</v>
      </c>
      <c r="CG309" s="11">
        <v>0</v>
      </c>
      <c r="CH309" s="11">
        <f>SUM(CI309:CL309)</f>
        <v>0</v>
      </c>
      <c r="CI309" s="11">
        <v>0</v>
      </c>
      <c r="CJ309" s="11">
        <v>0</v>
      </c>
      <c r="CK309" s="11">
        <v>0</v>
      </c>
      <c r="CL309" s="11">
        <v>0</v>
      </c>
      <c r="CM309" s="11">
        <f>SUM(CN309:CQ309)</f>
        <v>0</v>
      </c>
      <c r="CN309" s="11">
        <v>0</v>
      </c>
      <c r="CO309" s="11">
        <v>0</v>
      </c>
      <c r="CP309" s="11"/>
      <c r="CQ309" s="11">
        <v>0</v>
      </c>
      <c r="CR309" s="11">
        <v>0</v>
      </c>
      <c r="CS309" s="11">
        <v>0</v>
      </c>
      <c r="CT309" s="11">
        <v>0</v>
      </c>
      <c r="CU309" s="11">
        <f t="shared" si="670"/>
        <v>0</v>
      </c>
      <c r="CV309" s="11">
        <f t="shared" si="671"/>
        <v>0</v>
      </c>
      <c r="CW309" s="11">
        <v>0</v>
      </c>
      <c r="CX309" s="12">
        <v>0</v>
      </c>
    </row>
    <row r="310" spans="1:102" ht="15.75" x14ac:dyDescent="0.25">
      <c r="A310" s="7"/>
      <c r="B310" s="8" t="s">
        <v>433</v>
      </c>
      <c r="C310" s="8" t="s">
        <v>1</v>
      </c>
      <c r="D310" s="9" t="s">
        <v>434</v>
      </c>
      <c r="E310" s="10">
        <f t="shared" ref="E310:AL310" si="678">SUM(E311)</f>
        <v>12438229</v>
      </c>
      <c r="F310" s="11">
        <f t="shared" si="678"/>
        <v>12438229</v>
      </c>
      <c r="G310" s="11">
        <f t="shared" si="678"/>
        <v>0</v>
      </c>
      <c r="H310" s="11">
        <f t="shared" si="678"/>
        <v>0</v>
      </c>
      <c r="I310" s="11">
        <f t="shared" si="678"/>
        <v>0</v>
      </c>
      <c r="J310" s="11">
        <f t="shared" si="678"/>
        <v>0</v>
      </c>
      <c r="K310" s="11">
        <f t="shared" si="678"/>
        <v>0</v>
      </c>
      <c r="L310" s="11">
        <f t="shared" si="678"/>
        <v>0</v>
      </c>
      <c r="M310" s="11">
        <f t="shared" si="678"/>
        <v>0</v>
      </c>
      <c r="N310" s="11">
        <f t="shared" si="678"/>
        <v>0</v>
      </c>
      <c r="O310" s="11">
        <f t="shared" si="678"/>
        <v>0</v>
      </c>
      <c r="P310" s="11">
        <f t="shared" si="678"/>
        <v>0</v>
      </c>
      <c r="Q310" s="11">
        <f t="shared" si="678"/>
        <v>0</v>
      </c>
      <c r="R310" s="11">
        <f t="shared" si="678"/>
        <v>0</v>
      </c>
      <c r="S310" s="11">
        <f t="shared" si="678"/>
        <v>0</v>
      </c>
      <c r="T310" s="11">
        <f t="shared" si="678"/>
        <v>0</v>
      </c>
      <c r="U310" s="11">
        <f t="shared" si="678"/>
        <v>0</v>
      </c>
      <c r="V310" s="11">
        <f t="shared" si="678"/>
        <v>0</v>
      </c>
      <c r="W310" s="11">
        <f t="shared" si="678"/>
        <v>0</v>
      </c>
      <c r="X310" s="11">
        <f t="shared" si="678"/>
        <v>0</v>
      </c>
      <c r="Y310" s="11">
        <f t="shared" si="678"/>
        <v>0</v>
      </c>
      <c r="Z310" s="11">
        <f t="shared" si="678"/>
        <v>0</v>
      </c>
      <c r="AA310" s="11">
        <f t="shared" si="678"/>
        <v>0</v>
      </c>
      <c r="AB310" s="11">
        <f t="shared" si="678"/>
        <v>0</v>
      </c>
      <c r="AC310" s="11">
        <f t="shared" si="678"/>
        <v>0</v>
      </c>
      <c r="AD310" s="11">
        <f t="shared" si="678"/>
        <v>0</v>
      </c>
      <c r="AE310" s="11">
        <f t="shared" si="678"/>
        <v>0</v>
      </c>
      <c r="AF310" s="11">
        <f t="shared" si="678"/>
        <v>0</v>
      </c>
      <c r="AG310" s="11">
        <f t="shared" si="678"/>
        <v>0</v>
      </c>
      <c r="AH310" s="11">
        <f t="shared" si="678"/>
        <v>0</v>
      </c>
      <c r="AI310" s="11">
        <f t="shared" si="678"/>
        <v>0</v>
      </c>
      <c r="AJ310" s="11">
        <f t="shared" si="678"/>
        <v>0</v>
      </c>
      <c r="AK310" s="11">
        <f t="shared" si="678"/>
        <v>0</v>
      </c>
      <c r="AL310" s="11">
        <f t="shared" si="678"/>
        <v>0</v>
      </c>
      <c r="AM310" s="11">
        <f t="shared" ref="AM310:CX310" si="679">SUM(AM311)</f>
        <v>0</v>
      </c>
      <c r="AN310" s="11">
        <f t="shared" si="679"/>
        <v>0</v>
      </c>
      <c r="AO310" s="11">
        <f t="shared" si="679"/>
        <v>0</v>
      </c>
      <c r="AP310" s="11">
        <f t="shared" si="679"/>
        <v>0</v>
      </c>
      <c r="AQ310" s="11">
        <f t="shared" si="679"/>
        <v>0</v>
      </c>
      <c r="AR310" s="11">
        <f t="shared" si="679"/>
        <v>0</v>
      </c>
      <c r="AS310" s="11">
        <f t="shared" si="679"/>
        <v>0</v>
      </c>
      <c r="AT310" s="11">
        <f t="shared" si="679"/>
        <v>0</v>
      </c>
      <c r="AU310" s="11">
        <f t="shared" si="679"/>
        <v>0</v>
      </c>
      <c r="AV310" s="11">
        <f t="shared" si="679"/>
        <v>0</v>
      </c>
      <c r="AW310" s="11">
        <f t="shared" si="679"/>
        <v>0</v>
      </c>
      <c r="AX310" s="11">
        <f t="shared" si="679"/>
        <v>0</v>
      </c>
      <c r="AY310" s="11">
        <f t="shared" si="679"/>
        <v>0</v>
      </c>
      <c r="AZ310" s="11">
        <f t="shared" si="679"/>
        <v>0</v>
      </c>
      <c r="BA310" s="11">
        <f t="shared" si="679"/>
        <v>0</v>
      </c>
      <c r="BB310" s="11">
        <f t="shared" si="679"/>
        <v>0</v>
      </c>
      <c r="BC310" s="11">
        <f t="shared" si="679"/>
        <v>12438229</v>
      </c>
      <c r="BD310" s="11">
        <f t="shared" si="679"/>
        <v>0</v>
      </c>
      <c r="BE310" s="11">
        <f t="shared" si="679"/>
        <v>0</v>
      </c>
      <c r="BF310" s="11">
        <f t="shared" si="679"/>
        <v>0</v>
      </c>
      <c r="BG310" s="11">
        <f t="shared" si="679"/>
        <v>0</v>
      </c>
      <c r="BH310" s="11">
        <f t="shared" si="679"/>
        <v>0</v>
      </c>
      <c r="BI310" s="11">
        <f t="shared" si="679"/>
        <v>0</v>
      </c>
      <c r="BJ310" s="11">
        <f t="shared" si="679"/>
        <v>0</v>
      </c>
      <c r="BK310" s="11">
        <f t="shared" si="679"/>
        <v>0</v>
      </c>
      <c r="BL310" s="11">
        <f t="shared" si="679"/>
        <v>0</v>
      </c>
      <c r="BM310" s="11">
        <f t="shared" si="679"/>
        <v>0</v>
      </c>
      <c r="BN310" s="11">
        <f t="shared" si="679"/>
        <v>0</v>
      </c>
      <c r="BO310" s="11">
        <f t="shared" si="679"/>
        <v>0</v>
      </c>
      <c r="BP310" s="11">
        <f t="shared" si="679"/>
        <v>0</v>
      </c>
      <c r="BQ310" s="11">
        <f t="shared" si="679"/>
        <v>12438229</v>
      </c>
      <c r="BR310" s="11">
        <f t="shared" si="679"/>
        <v>0</v>
      </c>
      <c r="BS310" s="11">
        <f t="shared" si="679"/>
        <v>0</v>
      </c>
      <c r="BT310" s="11">
        <f t="shared" si="679"/>
        <v>0</v>
      </c>
      <c r="BU310" s="11">
        <f t="shared" si="679"/>
        <v>0</v>
      </c>
      <c r="BV310" s="11">
        <f t="shared" si="679"/>
        <v>0</v>
      </c>
      <c r="BW310" s="11">
        <f t="shared" si="679"/>
        <v>0</v>
      </c>
      <c r="BX310" s="11">
        <f t="shared" si="679"/>
        <v>0</v>
      </c>
      <c r="BY310" s="11">
        <f t="shared" si="679"/>
        <v>0</v>
      </c>
      <c r="BZ310" s="11">
        <f t="shared" si="679"/>
        <v>0</v>
      </c>
      <c r="CA310" s="11">
        <f t="shared" si="679"/>
        <v>0</v>
      </c>
      <c r="CB310" s="11">
        <f t="shared" si="679"/>
        <v>12438229</v>
      </c>
      <c r="CC310" s="11">
        <f t="shared" si="644"/>
        <v>0</v>
      </c>
      <c r="CD310" s="11">
        <f t="shared" si="679"/>
        <v>0</v>
      </c>
      <c r="CE310" s="11">
        <f t="shared" si="679"/>
        <v>0</v>
      </c>
      <c r="CF310" s="11">
        <f t="shared" si="679"/>
        <v>0</v>
      </c>
      <c r="CG310" s="11">
        <f t="shared" si="679"/>
        <v>0</v>
      </c>
      <c r="CH310" s="11">
        <f t="shared" si="679"/>
        <v>0</v>
      </c>
      <c r="CI310" s="11">
        <f t="shared" si="679"/>
        <v>0</v>
      </c>
      <c r="CJ310" s="11">
        <f t="shared" si="679"/>
        <v>0</v>
      </c>
      <c r="CK310" s="11">
        <f t="shared" si="679"/>
        <v>0</v>
      </c>
      <c r="CL310" s="11">
        <f t="shared" si="679"/>
        <v>0</v>
      </c>
      <c r="CM310" s="11">
        <f t="shared" si="679"/>
        <v>0</v>
      </c>
      <c r="CN310" s="11">
        <f t="shared" si="679"/>
        <v>0</v>
      </c>
      <c r="CO310" s="11">
        <f t="shared" si="679"/>
        <v>0</v>
      </c>
      <c r="CP310" s="11"/>
      <c r="CQ310" s="11">
        <f t="shared" si="679"/>
        <v>0</v>
      </c>
      <c r="CR310" s="11">
        <f t="shared" si="679"/>
        <v>0</v>
      </c>
      <c r="CS310" s="11">
        <f t="shared" si="679"/>
        <v>0</v>
      </c>
      <c r="CT310" s="11">
        <f t="shared" si="679"/>
        <v>0</v>
      </c>
      <c r="CU310" s="11">
        <f t="shared" si="679"/>
        <v>0</v>
      </c>
      <c r="CV310" s="11">
        <f t="shared" si="679"/>
        <v>0</v>
      </c>
      <c r="CW310" s="11">
        <f t="shared" si="679"/>
        <v>0</v>
      </c>
      <c r="CX310" s="12">
        <f t="shared" si="679"/>
        <v>0</v>
      </c>
    </row>
    <row r="311" spans="1:102" ht="15.75" x14ac:dyDescent="0.25">
      <c r="A311" s="13"/>
      <c r="B311" s="14" t="s">
        <v>1</v>
      </c>
      <c r="C311" s="14" t="s">
        <v>345</v>
      </c>
      <c r="D311" s="15" t="s">
        <v>434</v>
      </c>
      <c r="E311" s="10">
        <f>SUM(F311+CC311+CU311)</f>
        <v>12438229</v>
      </c>
      <c r="F311" s="11">
        <f>SUM(G311+BC311)</f>
        <v>12438229</v>
      </c>
      <c r="G311" s="11">
        <f>SUM(H311+I311+J311+Q311+T311+U311+V311+AF311+AE311)</f>
        <v>0</v>
      </c>
      <c r="H311" s="11">
        <v>0</v>
      </c>
      <c r="I311" s="11">
        <v>0</v>
      </c>
      <c r="J311" s="11">
        <f>SUM(K311:P311)</f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f t="shared" si="664"/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f t="shared" ref="V311" si="680">SUM(W311:AD311)</f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f>SUM(AG311:BB311)</f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  <c r="AU311" s="11">
        <v>0</v>
      </c>
      <c r="AV311" s="11">
        <v>0</v>
      </c>
      <c r="AW311" s="11">
        <v>0</v>
      </c>
      <c r="AX311" s="11">
        <v>0</v>
      </c>
      <c r="AY311" s="11">
        <v>0</v>
      </c>
      <c r="AZ311" s="11">
        <v>0</v>
      </c>
      <c r="BA311" s="11">
        <v>0</v>
      </c>
      <c r="BB311" s="11">
        <v>0</v>
      </c>
      <c r="BC311" s="11">
        <f>SUM(BD311+BH311+BL311+BN311+BQ311)</f>
        <v>12438229</v>
      </c>
      <c r="BD311" s="11">
        <f>SUM(BE311:BG311)</f>
        <v>0</v>
      </c>
      <c r="BE311" s="11">
        <v>0</v>
      </c>
      <c r="BF311" s="11">
        <v>0</v>
      </c>
      <c r="BG311" s="11">
        <v>0</v>
      </c>
      <c r="BH311" s="11">
        <f t="shared" si="666"/>
        <v>0</v>
      </c>
      <c r="BI311" s="11">
        <v>0</v>
      </c>
      <c r="BJ311" s="11">
        <v>0</v>
      </c>
      <c r="BK311" s="11">
        <v>0</v>
      </c>
      <c r="BL311" s="11">
        <v>0</v>
      </c>
      <c r="BM311" s="11">
        <v>0</v>
      </c>
      <c r="BN311" s="11">
        <f t="shared" si="667"/>
        <v>0</v>
      </c>
      <c r="BO311" s="11">
        <v>0</v>
      </c>
      <c r="BP311" s="11">
        <v>0</v>
      </c>
      <c r="BQ311" s="11">
        <f t="shared" si="668"/>
        <v>12438229</v>
      </c>
      <c r="BR311" s="11">
        <v>0</v>
      </c>
      <c r="BS311" s="11">
        <v>0</v>
      </c>
      <c r="BT311" s="11">
        <v>0</v>
      </c>
      <c r="BU311" s="11">
        <v>0</v>
      </c>
      <c r="BV311" s="11">
        <v>0</v>
      </c>
      <c r="BW311" s="11">
        <v>0</v>
      </c>
      <c r="BX311" s="11">
        <v>0</v>
      </c>
      <c r="BY311" s="11">
        <v>0</v>
      </c>
      <c r="BZ311" s="11">
        <v>0</v>
      </c>
      <c r="CA311" s="11">
        <v>0</v>
      </c>
      <c r="CB311" s="11">
        <f>12000000+438229</f>
        <v>12438229</v>
      </c>
      <c r="CC311" s="11">
        <f t="shared" si="644"/>
        <v>0</v>
      </c>
      <c r="CD311" s="11">
        <f>SUM(CE311+CH311+CM311)</f>
        <v>0</v>
      </c>
      <c r="CE311" s="11">
        <f t="shared" si="669"/>
        <v>0</v>
      </c>
      <c r="CF311" s="11">
        <v>0</v>
      </c>
      <c r="CG311" s="11">
        <v>0</v>
      </c>
      <c r="CH311" s="11">
        <f>SUM(CI311:CL311)</f>
        <v>0</v>
      </c>
      <c r="CI311" s="11">
        <v>0</v>
      </c>
      <c r="CJ311" s="11">
        <v>0</v>
      </c>
      <c r="CK311" s="11">
        <v>0</v>
      </c>
      <c r="CL311" s="11">
        <v>0</v>
      </c>
      <c r="CM311" s="11">
        <f>SUM(CN311:CQ311)</f>
        <v>0</v>
      </c>
      <c r="CN311" s="11">
        <v>0</v>
      </c>
      <c r="CO311" s="11">
        <v>0</v>
      </c>
      <c r="CP311" s="11"/>
      <c r="CQ311" s="11">
        <v>0</v>
      </c>
      <c r="CR311" s="11">
        <v>0</v>
      </c>
      <c r="CS311" s="11">
        <v>0</v>
      </c>
      <c r="CT311" s="11">
        <v>0</v>
      </c>
      <c r="CU311" s="11">
        <f t="shared" si="670"/>
        <v>0</v>
      </c>
      <c r="CV311" s="11">
        <f t="shared" si="671"/>
        <v>0</v>
      </c>
      <c r="CW311" s="11">
        <v>0</v>
      </c>
      <c r="CX311" s="12">
        <v>0</v>
      </c>
    </row>
    <row r="312" spans="1:102" ht="15.75" x14ac:dyDescent="0.25">
      <c r="A312" s="7"/>
      <c r="B312" s="8" t="s">
        <v>435</v>
      </c>
      <c r="C312" s="8" t="s">
        <v>1</v>
      </c>
      <c r="D312" s="24" t="s">
        <v>436</v>
      </c>
      <c r="E312" s="10">
        <f t="shared" ref="E312:AJ312" si="681">SUM(E313)</f>
        <v>22500000</v>
      </c>
      <c r="F312" s="11">
        <f t="shared" si="681"/>
        <v>22500000</v>
      </c>
      <c r="G312" s="11">
        <f t="shared" si="681"/>
        <v>22500000</v>
      </c>
      <c r="H312" s="11">
        <f t="shared" si="681"/>
        <v>0</v>
      </c>
      <c r="I312" s="11">
        <f t="shared" si="681"/>
        <v>0</v>
      </c>
      <c r="J312" s="11">
        <f t="shared" si="681"/>
        <v>0</v>
      </c>
      <c r="K312" s="11">
        <f t="shared" si="681"/>
        <v>0</v>
      </c>
      <c r="L312" s="11">
        <f t="shared" si="681"/>
        <v>0</v>
      </c>
      <c r="M312" s="11">
        <f t="shared" si="681"/>
        <v>0</v>
      </c>
      <c r="N312" s="11">
        <f t="shared" si="681"/>
        <v>0</v>
      </c>
      <c r="O312" s="11">
        <f t="shared" si="681"/>
        <v>0</v>
      </c>
      <c r="P312" s="11">
        <f t="shared" si="681"/>
        <v>0</v>
      </c>
      <c r="Q312" s="11">
        <f t="shared" si="681"/>
        <v>0</v>
      </c>
      <c r="R312" s="11">
        <f t="shared" si="681"/>
        <v>0</v>
      </c>
      <c r="S312" s="11">
        <f t="shared" si="681"/>
        <v>0</v>
      </c>
      <c r="T312" s="11">
        <f t="shared" si="681"/>
        <v>0</v>
      </c>
      <c r="U312" s="11">
        <f t="shared" si="681"/>
        <v>0</v>
      </c>
      <c r="V312" s="11">
        <f t="shared" si="681"/>
        <v>0</v>
      </c>
      <c r="W312" s="11">
        <f t="shared" si="681"/>
        <v>0</v>
      </c>
      <c r="X312" s="11">
        <f t="shared" si="681"/>
        <v>0</v>
      </c>
      <c r="Y312" s="11">
        <f t="shared" si="681"/>
        <v>0</v>
      </c>
      <c r="Z312" s="11">
        <f t="shared" si="681"/>
        <v>0</v>
      </c>
      <c r="AA312" s="11">
        <f t="shared" si="681"/>
        <v>0</v>
      </c>
      <c r="AB312" s="11">
        <f t="shared" si="681"/>
        <v>0</v>
      </c>
      <c r="AC312" s="11">
        <f t="shared" si="681"/>
        <v>0</v>
      </c>
      <c r="AD312" s="11">
        <f t="shared" si="681"/>
        <v>0</v>
      </c>
      <c r="AE312" s="11">
        <f t="shared" si="681"/>
        <v>0</v>
      </c>
      <c r="AF312" s="11">
        <f t="shared" si="681"/>
        <v>22500000</v>
      </c>
      <c r="AG312" s="11">
        <f t="shared" si="681"/>
        <v>0</v>
      </c>
      <c r="AH312" s="11">
        <f t="shared" si="681"/>
        <v>0</v>
      </c>
      <c r="AI312" s="11">
        <f t="shared" si="681"/>
        <v>0</v>
      </c>
      <c r="AJ312" s="11">
        <f t="shared" si="681"/>
        <v>0</v>
      </c>
      <c r="AK312" s="11">
        <f t="shared" ref="AK312:CV312" si="682">SUM(AK313)</f>
        <v>0</v>
      </c>
      <c r="AL312" s="11">
        <f t="shared" si="682"/>
        <v>0</v>
      </c>
      <c r="AM312" s="11">
        <f t="shared" si="682"/>
        <v>0</v>
      </c>
      <c r="AN312" s="11">
        <f t="shared" si="682"/>
        <v>0</v>
      </c>
      <c r="AO312" s="11">
        <f t="shared" si="682"/>
        <v>0</v>
      </c>
      <c r="AP312" s="11">
        <f t="shared" si="682"/>
        <v>0</v>
      </c>
      <c r="AQ312" s="11">
        <f t="shared" si="682"/>
        <v>0</v>
      </c>
      <c r="AR312" s="11">
        <f t="shared" si="682"/>
        <v>0</v>
      </c>
      <c r="AS312" s="11">
        <f t="shared" si="682"/>
        <v>0</v>
      </c>
      <c r="AT312" s="11">
        <f t="shared" si="682"/>
        <v>0</v>
      </c>
      <c r="AU312" s="11">
        <f t="shared" si="682"/>
        <v>0</v>
      </c>
      <c r="AV312" s="11">
        <f t="shared" si="682"/>
        <v>0</v>
      </c>
      <c r="AW312" s="11">
        <f t="shared" si="682"/>
        <v>0</v>
      </c>
      <c r="AX312" s="11">
        <f t="shared" si="682"/>
        <v>0</v>
      </c>
      <c r="AY312" s="11">
        <f t="shared" si="682"/>
        <v>0</v>
      </c>
      <c r="AZ312" s="11">
        <f t="shared" si="682"/>
        <v>0</v>
      </c>
      <c r="BA312" s="11">
        <f t="shared" si="682"/>
        <v>0</v>
      </c>
      <c r="BB312" s="11">
        <f t="shared" si="682"/>
        <v>22500000</v>
      </c>
      <c r="BC312" s="11">
        <f t="shared" si="682"/>
        <v>0</v>
      </c>
      <c r="BD312" s="11">
        <f t="shared" si="682"/>
        <v>0</v>
      </c>
      <c r="BE312" s="11">
        <f t="shared" si="682"/>
        <v>0</v>
      </c>
      <c r="BF312" s="11">
        <f t="shared" si="682"/>
        <v>0</v>
      </c>
      <c r="BG312" s="11">
        <f t="shared" si="682"/>
        <v>0</v>
      </c>
      <c r="BH312" s="11">
        <f t="shared" si="682"/>
        <v>0</v>
      </c>
      <c r="BI312" s="11">
        <f t="shared" si="682"/>
        <v>0</v>
      </c>
      <c r="BJ312" s="11">
        <f t="shared" si="682"/>
        <v>0</v>
      </c>
      <c r="BK312" s="11">
        <f t="shared" si="682"/>
        <v>0</v>
      </c>
      <c r="BL312" s="11">
        <f t="shared" si="682"/>
        <v>0</v>
      </c>
      <c r="BM312" s="11">
        <f t="shared" si="682"/>
        <v>0</v>
      </c>
      <c r="BN312" s="11">
        <f t="shared" si="682"/>
        <v>0</v>
      </c>
      <c r="BO312" s="11">
        <f t="shared" si="682"/>
        <v>0</v>
      </c>
      <c r="BP312" s="11">
        <f t="shared" si="682"/>
        <v>0</v>
      </c>
      <c r="BQ312" s="11">
        <f t="shared" si="682"/>
        <v>0</v>
      </c>
      <c r="BR312" s="11">
        <f t="shared" si="682"/>
        <v>0</v>
      </c>
      <c r="BS312" s="11">
        <f t="shared" si="682"/>
        <v>0</v>
      </c>
      <c r="BT312" s="11">
        <f t="shared" si="682"/>
        <v>0</v>
      </c>
      <c r="BU312" s="11">
        <f t="shared" si="682"/>
        <v>0</v>
      </c>
      <c r="BV312" s="11">
        <f t="shared" si="682"/>
        <v>0</v>
      </c>
      <c r="BW312" s="11">
        <f t="shared" si="682"/>
        <v>0</v>
      </c>
      <c r="BX312" s="11">
        <f t="shared" si="682"/>
        <v>0</v>
      </c>
      <c r="BY312" s="11">
        <f t="shared" si="682"/>
        <v>0</v>
      </c>
      <c r="BZ312" s="11">
        <f t="shared" si="682"/>
        <v>0</v>
      </c>
      <c r="CA312" s="11">
        <f t="shared" si="682"/>
        <v>0</v>
      </c>
      <c r="CB312" s="11">
        <f t="shared" si="682"/>
        <v>0</v>
      </c>
      <c r="CC312" s="11">
        <f t="shared" si="644"/>
        <v>0</v>
      </c>
      <c r="CD312" s="11">
        <f t="shared" si="682"/>
        <v>0</v>
      </c>
      <c r="CE312" s="11">
        <f t="shared" si="682"/>
        <v>0</v>
      </c>
      <c r="CF312" s="11">
        <f t="shared" si="682"/>
        <v>0</v>
      </c>
      <c r="CG312" s="11">
        <f t="shared" si="682"/>
        <v>0</v>
      </c>
      <c r="CH312" s="11">
        <f t="shared" si="682"/>
        <v>0</v>
      </c>
      <c r="CI312" s="11">
        <f t="shared" si="682"/>
        <v>0</v>
      </c>
      <c r="CJ312" s="11">
        <f t="shared" si="682"/>
        <v>0</v>
      </c>
      <c r="CK312" s="11">
        <f t="shared" si="682"/>
        <v>0</v>
      </c>
      <c r="CL312" s="11">
        <f t="shared" si="682"/>
        <v>0</v>
      </c>
      <c r="CM312" s="11">
        <f t="shared" si="682"/>
        <v>0</v>
      </c>
      <c r="CN312" s="11">
        <f t="shared" si="682"/>
        <v>0</v>
      </c>
      <c r="CO312" s="11">
        <f t="shared" si="682"/>
        <v>0</v>
      </c>
      <c r="CP312" s="11"/>
      <c r="CQ312" s="11">
        <f t="shared" si="682"/>
        <v>0</v>
      </c>
      <c r="CR312" s="11">
        <f t="shared" si="682"/>
        <v>0</v>
      </c>
      <c r="CS312" s="11">
        <f t="shared" si="682"/>
        <v>0</v>
      </c>
      <c r="CT312" s="11">
        <f t="shared" si="682"/>
        <v>0</v>
      </c>
      <c r="CU312" s="11">
        <f t="shared" si="682"/>
        <v>0</v>
      </c>
      <c r="CV312" s="11">
        <f t="shared" si="682"/>
        <v>0</v>
      </c>
      <c r="CW312" s="11">
        <f t="shared" ref="CW312:CX312" si="683">SUM(CW313)</f>
        <v>0</v>
      </c>
      <c r="CX312" s="12">
        <f t="shared" si="683"/>
        <v>0</v>
      </c>
    </row>
    <row r="313" spans="1:102" ht="15.75" x14ac:dyDescent="0.25">
      <c r="A313" s="13"/>
      <c r="B313" s="14" t="s">
        <v>1</v>
      </c>
      <c r="C313" s="14" t="s">
        <v>94</v>
      </c>
      <c r="D313" s="25" t="s">
        <v>436</v>
      </c>
      <c r="E313" s="10">
        <f>SUM(F313+CC313+CU313)</f>
        <v>22500000</v>
      </c>
      <c r="F313" s="11">
        <f>SUM(G313+BC313)</f>
        <v>22500000</v>
      </c>
      <c r="G313" s="11">
        <f>SUM(H313+I313+J313+Q313+T313+U313+V313+AF313+AE313)</f>
        <v>22500000</v>
      </c>
      <c r="H313" s="11"/>
      <c r="I313" s="11"/>
      <c r="J313" s="11">
        <f>SUM(K313:P313)</f>
        <v>0</v>
      </c>
      <c r="K313" s="11"/>
      <c r="L313" s="11"/>
      <c r="M313" s="11"/>
      <c r="N313" s="11"/>
      <c r="O313" s="11"/>
      <c r="P313" s="11"/>
      <c r="Q313" s="11">
        <f>SUM(R313:S313)</f>
        <v>0</v>
      </c>
      <c r="R313" s="11"/>
      <c r="S313" s="11"/>
      <c r="T313" s="11"/>
      <c r="U313" s="11"/>
      <c r="V313" s="11">
        <f t="shared" ref="V313" si="684">SUM(W313:AD313)</f>
        <v>0</v>
      </c>
      <c r="W313" s="11"/>
      <c r="X313" s="11"/>
      <c r="Y313" s="11"/>
      <c r="Z313" s="11"/>
      <c r="AA313" s="11"/>
      <c r="AB313" s="11"/>
      <c r="AC313" s="11"/>
      <c r="AD313" s="11"/>
      <c r="AE313" s="11"/>
      <c r="AF313" s="11">
        <f>SUM(AG313:BB313)</f>
        <v>22500000</v>
      </c>
      <c r="AG313" s="11">
        <v>0</v>
      </c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6">
        <f>20500000+2000000</f>
        <v>22500000</v>
      </c>
      <c r="BC313" s="11">
        <f>SUM(BD313+BH313+BL313+BN313+BQ313)</f>
        <v>0</v>
      </c>
      <c r="BD313" s="11">
        <f>SUM(BE313:BG313)</f>
        <v>0</v>
      </c>
      <c r="BE313" s="16"/>
      <c r="BF313" s="11">
        <v>0</v>
      </c>
      <c r="BG313" s="11">
        <v>0</v>
      </c>
      <c r="BH313" s="11">
        <f>SUM(BJ313:BK313)</f>
        <v>0</v>
      </c>
      <c r="BI313" s="11">
        <v>0</v>
      </c>
      <c r="BJ313" s="11">
        <v>0</v>
      </c>
      <c r="BK313" s="11">
        <v>0</v>
      </c>
      <c r="BL313" s="11">
        <v>0</v>
      </c>
      <c r="BM313" s="11">
        <v>0</v>
      </c>
      <c r="BN313" s="11">
        <f>SUM(BO313)</f>
        <v>0</v>
      </c>
      <c r="BO313" s="11">
        <v>0</v>
      </c>
      <c r="BP313" s="11">
        <v>0</v>
      </c>
      <c r="BQ313" s="11">
        <f>SUM(BR313:CB313)</f>
        <v>0</v>
      </c>
      <c r="BR313" s="11">
        <v>0</v>
      </c>
      <c r="BS313" s="11">
        <v>0</v>
      </c>
      <c r="BT313" s="11">
        <v>0</v>
      </c>
      <c r="BU313" s="11">
        <v>0</v>
      </c>
      <c r="BV313" s="11">
        <v>0</v>
      </c>
      <c r="BW313" s="11">
        <v>0</v>
      </c>
      <c r="BX313" s="11">
        <v>0</v>
      </c>
      <c r="BY313" s="11">
        <v>0</v>
      </c>
      <c r="BZ313" s="11">
        <v>0</v>
      </c>
      <c r="CA313" s="11"/>
      <c r="CB313" s="11"/>
      <c r="CC313" s="11">
        <f t="shared" si="644"/>
        <v>0</v>
      </c>
      <c r="CD313" s="11">
        <f>SUM(CE313+CH313+CM313)</f>
        <v>0</v>
      </c>
      <c r="CE313" s="11">
        <f>SUM(CF313:CG313)</f>
        <v>0</v>
      </c>
      <c r="CF313" s="11">
        <v>0</v>
      </c>
      <c r="CG313" s="11"/>
      <c r="CH313" s="11">
        <f>SUM(CI313:CL313)</f>
        <v>0</v>
      </c>
      <c r="CI313" s="11">
        <v>0</v>
      </c>
      <c r="CJ313" s="11">
        <v>0</v>
      </c>
      <c r="CK313" s="11"/>
      <c r="CL313" s="11"/>
      <c r="CM313" s="11">
        <f>SUM(CN313:CQ313)</f>
        <v>0</v>
      </c>
      <c r="CN313" s="11"/>
      <c r="CO313" s="11"/>
      <c r="CP313" s="11"/>
      <c r="CQ313" s="11">
        <v>0</v>
      </c>
      <c r="CR313" s="11">
        <v>0</v>
      </c>
      <c r="CS313" s="11">
        <v>0</v>
      </c>
      <c r="CT313" s="11">
        <v>0</v>
      </c>
      <c r="CU313" s="11">
        <f>SUM(CV313)</f>
        <v>0</v>
      </c>
      <c r="CV313" s="11">
        <f>SUM(CW313:CX313)</f>
        <v>0</v>
      </c>
      <c r="CW313" s="11">
        <v>0</v>
      </c>
      <c r="CX313" s="12">
        <v>0</v>
      </c>
    </row>
    <row r="314" spans="1:102" ht="31.5" x14ac:dyDescent="0.25">
      <c r="A314" s="7"/>
      <c r="B314" s="8" t="s">
        <v>437</v>
      </c>
      <c r="C314" s="8" t="s">
        <v>1</v>
      </c>
      <c r="D314" s="24" t="s">
        <v>438</v>
      </c>
      <c r="E314" s="10">
        <f t="shared" ref="E314:AL314" si="685">SUM(E315)</f>
        <v>34481088</v>
      </c>
      <c r="F314" s="11">
        <f t="shared" si="685"/>
        <v>34481088</v>
      </c>
      <c r="G314" s="11">
        <f t="shared" si="685"/>
        <v>15236848</v>
      </c>
      <c r="H314" s="11">
        <f t="shared" si="685"/>
        <v>0</v>
      </c>
      <c r="I314" s="11">
        <f t="shared" si="685"/>
        <v>0</v>
      </c>
      <c r="J314" s="11">
        <f t="shared" si="685"/>
        <v>0</v>
      </c>
      <c r="K314" s="11">
        <f t="shared" si="685"/>
        <v>0</v>
      </c>
      <c r="L314" s="11">
        <f t="shared" si="685"/>
        <v>0</v>
      </c>
      <c r="M314" s="11">
        <f t="shared" si="685"/>
        <v>0</v>
      </c>
      <c r="N314" s="11">
        <f t="shared" si="685"/>
        <v>0</v>
      </c>
      <c r="O314" s="11">
        <f t="shared" si="685"/>
        <v>0</v>
      </c>
      <c r="P314" s="11">
        <f t="shared" si="685"/>
        <v>0</v>
      </c>
      <c r="Q314" s="11">
        <f t="shared" si="685"/>
        <v>0</v>
      </c>
      <c r="R314" s="11">
        <f t="shared" si="685"/>
        <v>0</v>
      </c>
      <c r="S314" s="11">
        <f t="shared" si="685"/>
        <v>0</v>
      </c>
      <c r="T314" s="11">
        <f t="shared" si="685"/>
        <v>0</v>
      </c>
      <c r="U314" s="11">
        <f t="shared" si="685"/>
        <v>0</v>
      </c>
      <c r="V314" s="11">
        <f t="shared" si="685"/>
        <v>0</v>
      </c>
      <c r="W314" s="11">
        <f t="shared" si="685"/>
        <v>0</v>
      </c>
      <c r="X314" s="11">
        <f t="shared" si="685"/>
        <v>0</v>
      </c>
      <c r="Y314" s="11">
        <f t="shared" si="685"/>
        <v>0</v>
      </c>
      <c r="Z314" s="11">
        <f t="shared" si="685"/>
        <v>0</v>
      </c>
      <c r="AA314" s="11">
        <f t="shared" si="685"/>
        <v>0</v>
      </c>
      <c r="AB314" s="11">
        <f t="shared" si="685"/>
        <v>0</v>
      </c>
      <c r="AC314" s="11">
        <f t="shared" si="685"/>
        <v>0</v>
      </c>
      <c r="AD314" s="11">
        <f t="shared" si="685"/>
        <v>0</v>
      </c>
      <c r="AE314" s="11">
        <f t="shared" si="685"/>
        <v>0</v>
      </c>
      <c r="AF314" s="11">
        <f t="shared" si="685"/>
        <v>15236848</v>
      </c>
      <c r="AG314" s="11">
        <f t="shared" si="685"/>
        <v>0</v>
      </c>
      <c r="AH314" s="11">
        <f t="shared" si="685"/>
        <v>0</v>
      </c>
      <c r="AI314" s="11">
        <f t="shared" si="685"/>
        <v>0</v>
      </c>
      <c r="AJ314" s="11">
        <f t="shared" si="685"/>
        <v>0</v>
      </c>
      <c r="AK314" s="11">
        <f t="shared" si="685"/>
        <v>0</v>
      </c>
      <c r="AL314" s="11">
        <f t="shared" si="685"/>
        <v>0</v>
      </c>
      <c r="AM314" s="11">
        <f t="shared" ref="AM314:CX314" si="686">SUM(AM315)</f>
        <v>0</v>
      </c>
      <c r="AN314" s="11">
        <f t="shared" si="686"/>
        <v>0</v>
      </c>
      <c r="AO314" s="11">
        <f t="shared" si="686"/>
        <v>0</v>
      </c>
      <c r="AP314" s="11">
        <f t="shared" si="686"/>
        <v>0</v>
      </c>
      <c r="AQ314" s="11">
        <f t="shared" si="686"/>
        <v>0</v>
      </c>
      <c r="AR314" s="11">
        <f t="shared" si="686"/>
        <v>0</v>
      </c>
      <c r="AS314" s="11">
        <f t="shared" si="686"/>
        <v>0</v>
      </c>
      <c r="AT314" s="11">
        <f t="shared" si="686"/>
        <v>0</v>
      </c>
      <c r="AU314" s="11">
        <f t="shared" si="686"/>
        <v>0</v>
      </c>
      <c r="AV314" s="11">
        <f t="shared" si="686"/>
        <v>0</v>
      </c>
      <c r="AW314" s="11">
        <f t="shared" si="686"/>
        <v>0</v>
      </c>
      <c r="AX314" s="11">
        <f t="shared" si="686"/>
        <v>0</v>
      </c>
      <c r="AY314" s="11">
        <f t="shared" si="686"/>
        <v>0</v>
      </c>
      <c r="AZ314" s="11">
        <f t="shared" si="686"/>
        <v>0</v>
      </c>
      <c r="BA314" s="11">
        <f t="shared" si="686"/>
        <v>0</v>
      </c>
      <c r="BB314" s="11">
        <f t="shared" si="686"/>
        <v>15236848</v>
      </c>
      <c r="BC314" s="11">
        <f t="shared" si="686"/>
        <v>19244240</v>
      </c>
      <c r="BD314" s="11">
        <f t="shared" si="686"/>
        <v>19244240</v>
      </c>
      <c r="BE314" s="11">
        <f t="shared" si="686"/>
        <v>19244240</v>
      </c>
      <c r="BF314" s="11">
        <f t="shared" si="686"/>
        <v>0</v>
      </c>
      <c r="BG314" s="11">
        <f t="shared" si="686"/>
        <v>0</v>
      </c>
      <c r="BH314" s="11">
        <f t="shared" si="686"/>
        <v>0</v>
      </c>
      <c r="BI314" s="11">
        <f t="shared" si="686"/>
        <v>0</v>
      </c>
      <c r="BJ314" s="11">
        <f t="shared" si="686"/>
        <v>0</v>
      </c>
      <c r="BK314" s="11">
        <f t="shared" si="686"/>
        <v>0</v>
      </c>
      <c r="BL314" s="11">
        <f t="shared" si="686"/>
        <v>0</v>
      </c>
      <c r="BM314" s="11">
        <f t="shared" si="686"/>
        <v>0</v>
      </c>
      <c r="BN314" s="11">
        <f t="shared" si="686"/>
        <v>0</v>
      </c>
      <c r="BO314" s="11">
        <f t="shared" si="686"/>
        <v>0</v>
      </c>
      <c r="BP314" s="11">
        <f t="shared" si="686"/>
        <v>0</v>
      </c>
      <c r="BQ314" s="11">
        <f t="shared" si="686"/>
        <v>0</v>
      </c>
      <c r="BR314" s="11">
        <f t="shared" si="686"/>
        <v>0</v>
      </c>
      <c r="BS314" s="11">
        <f t="shared" si="686"/>
        <v>0</v>
      </c>
      <c r="BT314" s="11">
        <f t="shared" si="686"/>
        <v>0</v>
      </c>
      <c r="BU314" s="11">
        <f t="shared" si="686"/>
        <v>0</v>
      </c>
      <c r="BV314" s="11">
        <f t="shared" si="686"/>
        <v>0</v>
      </c>
      <c r="BW314" s="11">
        <f t="shared" si="686"/>
        <v>0</v>
      </c>
      <c r="BX314" s="11">
        <f t="shared" si="686"/>
        <v>0</v>
      </c>
      <c r="BY314" s="11">
        <f t="shared" si="686"/>
        <v>0</v>
      </c>
      <c r="BZ314" s="11">
        <f t="shared" si="686"/>
        <v>0</v>
      </c>
      <c r="CA314" s="11">
        <f t="shared" si="686"/>
        <v>0</v>
      </c>
      <c r="CB314" s="11">
        <f t="shared" si="686"/>
        <v>0</v>
      </c>
      <c r="CC314" s="11">
        <f t="shared" si="644"/>
        <v>0</v>
      </c>
      <c r="CD314" s="11">
        <f t="shared" si="686"/>
        <v>0</v>
      </c>
      <c r="CE314" s="11">
        <f t="shared" si="686"/>
        <v>0</v>
      </c>
      <c r="CF314" s="11">
        <f t="shared" si="686"/>
        <v>0</v>
      </c>
      <c r="CG314" s="11">
        <f t="shared" si="686"/>
        <v>0</v>
      </c>
      <c r="CH314" s="11">
        <f t="shared" si="686"/>
        <v>0</v>
      </c>
      <c r="CI314" s="11">
        <f t="shared" si="686"/>
        <v>0</v>
      </c>
      <c r="CJ314" s="11">
        <f t="shared" si="686"/>
        <v>0</v>
      </c>
      <c r="CK314" s="11">
        <f t="shared" si="686"/>
        <v>0</v>
      </c>
      <c r="CL314" s="11">
        <f t="shared" si="686"/>
        <v>0</v>
      </c>
      <c r="CM314" s="11">
        <f t="shared" si="686"/>
        <v>0</v>
      </c>
      <c r="CN314" s="11">
        <f t="shared" si="686"/>
        <v>0</v>
      </c>
      <c r="CO314" s="11">
        <f t="shared" si="686"/>
        <v>0</v>
      </c>
      <c r="CP314" s="11"/>
      <c r="CQ314" s="11">
        <f t="shared" si="686"/>
        <v>0</v>
      </c>
      <c r="CR314" s="11">
        <f t="shared" si="686"/>
        <v>0</v>
      </c>
      <c r="CS314" s="11">
        <f t="shared" si="686"/>
        <v>0</v>
      </c>
      <c r="CT314" s="11">
        <f t="shared" si="686"/>
        <v>0</v>
      </c>
      <c r="CU314" s="11">
        <f t="shared" si="686"/>
        <v>0</v>
      </c>
      <c r="CV314" s="11">
        <f t="shared" si="686"/>
        <v>0</v>
      </c>
      <c r="CW314" s="11">
        <f t="shared" si="686"/>
        <v>0</v>
      </c>
      <c r="CX314" s="12">
        <f t="shared" si="686"/>
        <v>0</v>
      </c>
    </row>
    <row r="315" spans="1:102" ht="15.75" x14ac:dyDescent="0.25">
      <c r="A315" s="13" t="s">
        <v>1</v>
      </c>
      <c r="B315" s="14" t="s">
        <v>1</v>
      </c>
      <c r="C315" s="14" t="s">
        <v>94</v>
      </c>
      <c r="D315" s="25" t="s">
        <v>438</v>
      </c>
      <c r="E315" s="10">
        <f>SUM(F315+CC315+CU315)</f>
        <v>34481088</v>
      </c>
      <c r="F315" s="11">
        <f>SUM(G315+BC315)</f>
        <v>34481088</v>
      </c>
      <c r="G315" s="11">
        <f>SUM(H315+I315+J315+Q315+T315+U315+V315+AF315+AE315)</f>
        <v>15236848</v>
      </c>
      <c r="H315" s="11">
        <v>0</v>
      </c>
      <c r="I315" s="11">
        <v>0</v>
      </c>
      <c r="J315" s="11">
        <f>SUM(K315:P315)</f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f t="shared" si="664"/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f t="shared" ref="V315" si="687">SUM(W315:AD315)</f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f>SUM(AG315:BB315)</f>
        <v>15236848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  <c r="AU315" s="11">
        <v>0</v>
      </c>
      <c r="AV315" s="11">
        <v>0</v>
      </c>
      <c r="AW315" s="11">
        <v>0</v>
      </c>
      <c r="AX315" s="11">
        <v>0</v>
      </c>
      <c r="AY315" s="11">
        <v>0</v>
      </c>
      <c r="AZ315" s="11">
        <v>0</v>
      </c>
      <c r="BA315" s="11">
        <v>0</v>
      </c>
      <c r="BB315" s="11">
        <f>13108000+2128848</f>
        <v>15236848</v>
      </c>
      <c r="BC315" s="11">
        <f>SUM(BD315+BH315+BL315+BN315+BQ315)</f>
        <v>19244240</v>
      </c>
      <c r="BD315" s="11">
        <f>SUM(BE315:BG315)</f>
        <v>19244240</v>
      </c>
      <c r="BE315" s="11">
        <v>19244240</v>
      </c>
      <c r="BF315" s="11">
        <v>0</v>
      </c>
      <c r="BG315" s="11">
        <v>0</v>
      </c>
      <c r="BH315" s="11">
        <f t="shared" si="666"/>
        <v>0</v>
      </c>
      <c r="BI315" s="11">
        <v>0</v>
      </c>
      <c r="BJ315" s="11">
        <v>0</v>
      </c>
      <c r="BK315" s="11">
        <v>0</v>
      </c>
      <c r="BL315" s="11"/>
      <c r="BM315" s="11">
        <v>0</v>
      </c>
      <c r="BN315" s="11">
        <f t="shared" si="667"/>
        <v>0</v>
      </c>
      <c r="BO315" s="11">
        <v>0</v>
      </c>
      <c r="BP315" s="11">
        <v>0</v>
      </c>
      <c r="BQ315" s="11">
        <f t="shared" si="668"/>
        <v>0</v>
      </c>
      <c r="BR315" s="11">
        <v>0</v>
      </c>
      <c r="BS315" s="11">
        <v>0</v>
      </c>
      <c r="BT315" s="11">
        <v>0</v>
      </c>
      <c r="BU315" s="11">
        <v>0</v>
      </c>
      <c r="BV315" s="11">
        <v>0</v>
      </c>
      <c r="BW315" s="11">
        <v>0</v>
      </c>
      <c r="BX315" s="11">
        <v>0</v>
      </c>
      <c r="BY315" s="11">
        <v>0</v>
      </c>
      <c r="BZ315" s="11">
        <v>0</v>
      </c>
      <c r="CA315" s="11">
        <v>0</v>
      </c>
      <c r="CB315" s="11">
        <v>0</v>
      </c>
      <c r="CC315" s="11">
        <f t="shared" si="644"/>
        <v>0</v>
      </c>
      <c r="CD315" s="11">
        <f>SUM(CE315+CH315+CM315)</f>
        <v>0</v>
      </c>
      <c r="CE315" s="11">
        <f t="shared" si="669"/>
        <v>0</v>
      </c>
      <c r="CF315" s="11">
        <v>0</v>
      </c>
      <c r="CG315" s="11">
        <v>0</v>
      </c>
      <c r="CH315" s="11">
        <f>SUM(CI315:CL315)</f>
        <v>0</v>
      </c>
      <c r="CI315" s="11">
        <v>0</v>
      </c>
      <c r="CJ315" s="11">
        <v>0</v>
      </c>
      <c r="CK315" s="11">
        <v>0</v>
      </c>
      <c r="CL315" s="11">
        <v>0</v>
      </c>
      <c r="CM315" s="11">
        <f>SUM(CN315:CQ315)</f>
        <v>0</v>
      </c>
      <c r="CN315" s="11">
        <v>0</v>
      </c>
      <c r="CO315" s="11">
        <v>0</v>
      </c>
      <c r="CP315" s="11"/>
      <c r="CQ315" s="11">
        <v>0</v>
      </c>
      <c r="CR315" s="11">
        <v>0</v>
      </c>
      <c r="CS315" s="11">
        <v>0</v>
      </c>
      <c r="CT315" s="11">
        <v>0</v>
      </c>
      <c r="CU315" s="11">
        <f t="shared" si="670"/>
        <v>0</v>
      </c>
      <c r="CV315" s="11">
        <f t="shared" si="671"/>
        <v>0</v>
      </c>
      <c r="CW315" s="11">
        <v>0</v>
      </c>
      <c r="CX315" s="12">
        <v>0</v>
      </c>
    </row>
    <row r="316" spans="1:102" ht="16.5" thickBot="1" x14ac:dyDescent="0.3">
      <c r="A316" s="39" t="s">
        <v>1</v>
      </c>
      <c r="B316" s="40" t="s">
        <v>1</v>
      </c>
      <c r="C316" s="40" t="s">
        <v>1</v>
      </c>
      <c r="D316" s="41" t="s">
        <v>439</v>
      </c>
      <c r="E316" s="42">
        <f t="shared" ref="E316:AJ316" si="688">E11+E49+E60+E65+E70+E88+E100+E103+E107+E112+E124+E145+E160+E170+E183+E219+E225+E229+E293+E296+E222</f>
        <v>4714464133</v>
      </c>
      <c r="F316" s="43">
        <f t="shared" si="688"/>
        <v>4207401587</v>
      </c>
      <c r="G316" s="43">
        <f t="shared" si="688"/>
        <v>3061620763</v>
      </c>
      <c r="H316" s="43">
        <f t="shared" si="688"/>
        <v>1618834746</v>
      </c>
      <c r="I316" s="43">
        <f t="shared" si="688"/>
        <v>257616608</v>
      </c>
      <c r="J316" s="43">
        <f t="shared" si="688"/>
        <v>553059522</v>
      </c>
      <c r="K316" s="43">
        <f t="shared" si="688"/>
        <v>263975966</v>
      </c>
      <c r="L316" s="43">
        <f t="shared" si="688"/>
        <v>69894467</v>
      </c>
      <c r="M316" s="43">
        <f t="shared" si="688"/>
        <v>98840849</v>
      </c>
      <c r="N316" s="43">
        <f t="shared" si="688"/>
        <v>2902321</v>
      </c>
      <c r="O316" s="43">
        <f t="shared" si="688"/>
        <v>75821386</v>
      </c>
      <c r="P316" s="43">
        <f t="shared" si="688"/>
        <v>41624533</v>
      </c>
      <c r="Q316" s="43">
        <f t="shared" si="688"/>
        <v>10842448</v>
      </c>
      <c r="R316" s="43">
        <f t="shared" si="688"/>
        <v>689178</v>
      </c>
      <c r="S316" s="43">
        <f t="shared" si="688"/>
        <v>10153270</v>
      </c>
      <c r="T316" s="43">
        <f t="shared" si="688"/>
        <v>115377</v>
      </c>
      <c r="U316" s="43">
        <f t="shared" si="688"/>
        <v>20083566</v>
      </c>
      <c r="V316" s="43">
        <f t="shared" si="688"/>
        <v>250677873</v>
      </c>
      <c r="W316" s="43">
        <f t="shared" si="688"/>
        <v>6516116</v>
      </c>
      <c r="X316" s="43">
        <f t="shared" si="688"/>
        <v>35844462</v>
      </c>
      <c r="Y316" s="43">
        <f t="shared" si="688"/>
        <v>26358093</v>
      </c>
      <c r="Z316" s="43">
        <f t="shared" si="688"/>
        <v>15083652</v>
      </c>
      <c r="AA316" s="43">
        <f t="shared" si="688"/>
        <v>3132869</v>
      </c>
      <c r="AB316" s="43">
        <f t="shared" si="688"/>
        <v>2405693</v>
      </c>
      <c r="AC316" s="43">
        <f t="shared" si="688"/>
        <v>159395606</v>
      </c>
      <c r="AD316" s="43">
        <f t="shared" si="688"/>
        <v>1941382</v>
      </c>
      <c r="AE316" s="43">
        <f t="shared" si="688"/>
        <v>2897</v>
      </c>
      <c r="AF316" s="43">
        <f t="shared" si="688"/>
        <v>350387726</v>
      </c>
      <c r="AG316" s="43">
        <f t="shared" si="688"/>
        <v>518689</v>
      </c>
      <c r="AH316" s="43">
        <f t="shared" si="688"/>
        <v>7500000</v>
      </c>
      <c r="AI316" s="43">
        <f t="shared" si="688"/>
        <v>8127544</v>
      </c>
      <c r="AJ316" s="43">
        <f t="shared" si="688"/>
        <v>14978988</v>
      </c>
      <c r="AK316" s="43">
        <f t="shared" ref="AK316:BP316" si="689">AK11+AK49+AK60+AK65+AK70+AK88+AK100+AK103+AK107+AK112+AK124+AK145+AK160+AK170+AK183+AK219+AK225+AK229+AK293+AK296+AK222</f>
        <v>1078790</v>
      </c>
      <c r="AL316" s="43">
        <f t="shared" si="689"/>
        <v>2631870</v>
      </c>
      <c r="AM316" s="43">
        <f t="shared" si="689"/>
        <v>1345200</v>
      </c>
      <c r="AN316" s="43">
        <f t="shared" si="689"/>
        <v>2316752</v>
      </c>
      <c r="AO316" s="43">
        <f t="shared" si="689"/>
        <v>7943206</v>
      </c>
      <c r="AP316" s="43">
        <f t="shared" si="689"/>
        <v>5205689</v>
      </c>
      <c r="AQ316" s="43">
        <f t="shared" si="689"/>
        <v>108133</v>
      </c>
      <c r="AR316" s="43">
        <f t="shared" si="689"/>
        <v>103718</v>
      </c>
      <c r="AS316" s="43">
        <f t="shared" si="689"/>
        <v>10530757</v>
      </c>
      <c r="AT316" s="43">
        <f t="shared" si="689"/>
        <v>6201523</v>
      </c>
      <c r="AU316" s="43">
        <f t="shared" si="689"/>
        <v>1009263</v>
      </c>
      <c r="AV316" s="43">
        <f t="shared" si="689"/>
        <v>524239</v>
      </c>
      <c r="AW316" s="43">
        <f t="shared" si="689"/>
        <v>1714848</v>
      </c>
      <c r="AX316" s="43">
        <f t="shared" si="689"/>
        <v>14326927</v>
      </c>
      <c r="AY316" s="43">
        <f t="shared" si="689"/>
        <v>54863958</v>
      </c>
      <c r="AZ316" s="43">
        <f t="shared" si="689"/>
        <v>1034</v>
      </c>
      <c r="BA316" s="43">
        <f t="shared" si="689"/>
        <v>2780233</v>
      </c>
      <c r="BB316" s="43">
        <f t="shared" si="689"/>
        <v>206576365</v>
      </c>
      <c r="BC316" s="43">
        <f t="shared" si="689"/>
        <v>1145780824</v>
      </c>
      <c r="BD316" s="43">
        <f t="shared" si="689"/>
        <v>237229484</v>
      </c>
      <c r="BE316" s="43">
        <f t="shared" si="689"/>
        <v>213365192</v>
      </c>
      <c r="BF316" s="43">
        <f t="shared" si="689"/>
        <v>3635190</v>
      </c>
      <c r="BG316" s="43">
        <f t="shared" si="689"/>
        <v>20229102</v>
      </c>
      <c r="BH316" s="43">
        <f t="shared" si="689"/>
        <v>15801917</v>
      </c>
      <c r="BI316" s="43">
        <f t="shared" si="689"/>
        <v>1431526</v>
      </c>
      <c r="BJ316" s="43">
        <f t="shared" si="689"/>
        <v>8642083</v>
      </c>
      <c r="BK316" s="43">
        <f t="shared" si="689"/>
        <v>5728308</v>
      </c>
      <c r="BL316" s="43">
        <f t="shared" si="689"/>
        <v>379204304</v>
      </c>
      <c r="BM316" s="43">
        <f t="shared" si="689"/>
        <v>3999587</v>
      </c>
      <c r="BN316" s="43">
        <f t="shared" si="689"/>
        <v>1472641</v>
      </c>
      <c r="BO316" s="43">
        <f t="shared" si="689"/>
        <v>894656</v>
      </c>
      <c r="BP316" s="43">
        <f t="shared" si="689"/>
        <v>577985</v>
      </c>
      <c r="BQ316" s="43">
        <f t="shared" ref="BQ316:CX316" si="690">BQ11+BQ49+BQ60+BQ65+BQ70+BQ88+BQ100+BQ103+BQ107+BQ112+BQ124+BQ145+BQ160+BQ170+BQ183+BQ219+BQ225+BQ229+BQ293+BQ296+BQ222</f>
        <v>512072478</v>
      </c>
      <c r="BR316" s="43">
        <f t="shared" si="690"/>
        <v>56335592</v>
      </c>
      <c r="BS316" s="43">
        <f t="shared" si="690"/>
        <v>4586664</v>
      </c>
      <c r="BT316" s="43">
        <f t="shared" si="690"/>
        <v>15580633</v>
      </c>
      <c r="BU316" s="43">
        <f t="shared" si="690"/>
        <v>23279783</v>
      </c>
      <c r="BV316" s="43">
        <f t="shared" si="690"/>
        <v>100000</v>
      </c>
      <c r="BW316" s="43">
        <f t="shared" si="690"/>
        <v>407888</v>
      </c>
      <c r="BX316" s="43">
        <f t="shared" si="690"/>
        <v>168697171</v>
      </c>
      <c r="BY316" s="43">
        <f t="shared" si="690"/>
        <v>1310400</v>
      </c>
      <c r="BZ316" s="43">
        <f t="shared" si="690"/>
        <v>339880</v>
      </c>
      <c r="CA316" s="43">
        <f t="shared" si="690"/>
        <v>164852327</v>
      </c>
      <c r="CB316" s="43">
        <f t="shared" si="690"/>
        <v>76582140</v>
      </c>
      <c r="CC316" s="43">
        <f t="shared" si="690"/>
        <v>433058546</v>
      </c>
      <c r="CD316" s="43">
        <f t="shared" si="690"/>
        <v>352029507</v>
      </c>
      <c r="CE316" s="43">
        <f t="shared" si="690"/>
        <v>82770005</v>
      </c>
      <c r="CF316" s="43">
        <f t="shared" si="690"/>
        <v>308846</v>
      </c>
      <c r="CG316" s="43">
        <f t="shared" si="690"/>
        <v>82461159</v>
      </c>
      <c r="CH316" s="43">
        <f t="shared" si="690"/>
        <v>127462102</v>
      </c>
      <c r="CI316" s="43">
        <f t="shared" si="690"/>
        <v>795729</v>
      </c>
      <c r="CJ316" s="43">
        <f t="shared" si="690"/>
        <v>115470297</v>
      </c>
      <c r="CK316" s="43">
        <f t="shared" si="690"/>
        <v>9936337</v>
      </c>
      <c r="CL316" s="43">
        <f t="shared" si="690"/>
        <v>1259739</v>
      </c>
      <c r="CM316" s="43">
        <f t="shared" si="690"/>
        <v>141797400</v>
      </c>
      <c r="CN316" s="43">
        <f t="shared" si="690"/>
        <v>123858148</v>
      </c>
      <c r="CO316" s="43">
        <f t="shared" si="690"/>
        <v>15843068</v>
      </c>
      <c r="CP316" s="43">
        <f t="shared" si="690"/>
        <v>96184</v>
      </c>
      <c r="CQ316" s="43">
        <f t="shared" si="690"/>
        <v>2000000</v>
      </c>
      <c r="CR316" s="43">
        <f t="shared" si="690"/>
        <v>3875517</v>
      </c>
      <c r="CS316" s="43">
        <f t="shared" si="690"/>
        <v>3875517</v>
      </c>
      <c r="CT316" s="43">
        <f t="shared" si="690"/>
        <v>77153522</v>
      </c>
      <c r="CU316" s="43">
        <f t="shared" si="690"/>
        <v>74004000</v>
      </c>
      <c r="CV316" s="43">
        <f t="shared" si="690"/>
        <v>74004000</v>
      </c>
      <c r="CW316" s="43">
        <f t="shared" si="690"/>
        <v>4000</v>
      </c>
      <c r="CX316" s="44">
        <f t="shared" si="690"/>
        <v>74000000</v>
      </c>
    </row>
    <row r="317" spans="1:102" x14ac:dyDescent="0.25">
      <c r="E317" s="61"/>
      <c r="F317" s="60"/>
    </row>
  </sheetData>
  <mergeCells count="103">
    <mergeCell ref="CW8:CW9"/>
    <mergeCell ref="CX8:CX9"/>
    <mergeCell ref="A9:A10"/>
    <mergeCell ref="B9:B10"/>
    <mergeCell ref="CR8:CR9"/>
    <mergeCell ref="CS8:CS9"/>
    <mergeCell ref="CT8:CT9"/>
    <mergeCell ref="CU8:CU9"/>
    <mergeCell ref="CV8:CV9"/>
    <mergeCell ref="CN8:CN9"/>
    <mergeCell ref="CO8:CO9"/>
    <mergeCell ref="CP8:CP9"/>
    <mergeCell ref="CQ8:CQ9"/>
    <mergeCell ref="CI8:CI9"/>
    <mergeCell ref="CJ8:CJ9"/>
    <mergeCell ref="CK8:CK9"/>
    <mergeCell ref="CL8:CL9"/>
    <mergeCell ref="CM8:CM9"/>
    <mergeCell ref="CD8:CD9"/>
    <mergeCell ref="CE8:CE9"/>
    <mergeCell ref="CF8:CF9"/>
    <mergeCell ref="CG8:CG9"/>
    <mergeCell ref="CH8:CH9"/>
    <mergeCell ref="BY8:BY9"/>
    <mergeCell ref="BZ8:BZ9"/>
    <mergeCell ref="CA8:CA9"/>
    <mergeCell ref="CB8:CB9"/>
    <mergeCell ref="CC8:CC9"/>
    <mergeCell ref="BT8:BT9"/>
    <mergeCell ref="BU8:BU9"/>
    <mergeCell ref="BV8:BV9"/>
    <mergeCell ref="BW8:BW9"/>
    <mergeCell ref="BX8:BX9"/>
    <mergeCell ref="BN8:BN9"/>
    <mergeCell ref="BO8:BO9"/>
    <mergeCell ref="BQ8:BQ9"/>
    <mergeCell ref="BR8:BR9"/>
    <mergeCell ref="BS8:BS9"/>
    <mergeCell ref="BI8:BI9"/>
    <mergeCell ref="BJ8:BJ9"/>
    <mergeCell ref="BK8:BK9"/>
    <mergeCell ref="BL8:BL9"/>
    <mergeCell ref="BM8:BM9"/>
    <mergeCell ref="BP8:BP9"/>
    <mergeCell ref="BD8:BD9"/>
    <mergeCell ref="BE8:BE9"/>
    <mergeCell ref="BF8:BF9"/>
    <mergeCell ref="BG8:BG9"/>
    <mergeCell ref="BH8:BH9"/>
    <mergeCell ref="AY8:AY9"/>
    <mergeCell ref="AZ8:AZ9"/>
    <mergeCell ref="BA8:BA9"/>
    <mergeCell ref="BB8:BB9"/>
    <mergeCell ref="BC8:BC9"/>
    <mergeCell ref="AT8:AT9"/>
    <mergeCell ref="AU8:AU9"/>
    <mergeCell ref="AV8:AV9"/>
    <mergeCell ref="AW8:AW9"/>
    <mergeCell ref="AX8:AX9"/>
    <mergeCell ref="AO8:AO9"/>
    <mergeCell ref="AP8:AP9"/>
    <mergeCell ref="AQ8:AQ9"/>
    <mergeCell ref="AS8:AS9"/>
    <mergeCell ref="AR8:AR9"/>
    <mergeCell ref="AJ8:AJ9"/>
    <mergeCell ref="AK8:AK9"/>
    <mergeCell ref="AL8:AL9"/>
    <mergeCell ref="AM8:AM9"/>
    <mergeCell ref="AN8:AN9"/>
    <mergeCell ref="AE8:AE9"/>
    <mergeCell ref="AF8:AF9"/>
    <mergeCell ref="AG8:AG9"/>
    <mergeCell ref="AH8:AH9"/>
    <mergeCell ref="AI8:AI9"/>
    <mergeCell ref="Z8:Z9"/>
    <mergeCell ref="AA8:AA9"/>
    <mergeCell ref="AB8:AB9"/>
    <mergeCell ref="AC8:AC9"/>
    <mergeCell ref="AD8:AD9"/>
    <mergeCell ref="U8:U9"/>
    <mergeCell ref="V8:V9"/>
    <mergeCell ref="W8:W9"/>
    <mergeCell ref="X8:X9"/>
    <mergeCell ref="Y8:Y9"/>
    <mergeCell ref="Q8:Q9"/>
    <mergeCell ref="R8:R9"/>
    <mergeCell ref="S8:S9"/>
    <mergeCell ref="T8:T9"/>
    <mergeCell ref="F8:F9"/>
    <mergeCell ref="A8:B8"/>
    <mergeCell ref="C8:C10"/>
    <mergeCell ref="D8:D10"/>
    <mergeCell ref="E8:E10"/>
    <mergeCell ref="P8:P9"/>
    <mergeCell ref="K8:K9"/>
    <mergeCell ref="L8:L9"/>
    <mergeCell ref="M8:M9"/>
    <mergeCell ref="N8:N9"/>
    <mergeCell ref="O8:O9"/>
    <mergeCell ref="G8:G9"/>
    <mergeCell ref="H8:H9"/>
    <mergeCell ref="I8:I9"/>
    <mergeCell ref="J8:J9"/>
  </mergeCells>
  <pageMargins left="0.39370078740157483" right="0.15748031496062992" top="1.1811023622047245" bottom="0.23622047244094491" header="0" footer="0"/>
  <pageSetup paperSize="9" scale="92" firstPageNumber="15" fitToWidth="11" fitToHeight="23" orientation="landscape" useFirstPageNumber="1" r:id="rId1"/>
  <headerFooter>
    <oddHeader>&amp;C&amp;P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2.2 (422)</vt:lpstr>
      <vt:lpstr>'Приложение № 2.2 (422)'!Заголовки_для_печати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2022-04-05T06:49:28Z</dcterms:modified>
</cp:coreProperties>
</file>